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ORÇAMENTO" sheetId="1" state="visible" r:id="rId3"/>
    <sheet name="PROPOSTA" sheetId="2" state="visible" r:id="rId4"/>
    <sheet name="MEMORIAL DE CALCULO" sheetId="3" state="visible" r:id="rId5"/>
    <sheet name="BDI" sheetId="4" state="visible" r:id="rId6"/>
    <sheet name="CRONOGRAMA FÍSICO-FINANCEIRO&#9;&#9;&#9;" sheetId="5" state="visible" r:id="rId7"/>
  </sheets>
  <definedNames>
    <definedName function="false" hidden="false" localSheetId="4" name="_xlnm.Print_Titles" vbProcedure="false">'CRONOGRAMA FÍSICO-FINANCEIRO			'!$A:$O,'CRONOGRAMA FÍSICO-FINANCEIRO			'!$1:$4</definedName>
    <definedName function="false" hidden="false" localSheetId="0" name="_xlnm.Print_Titles" vbProcedure="false">ORÇAMENTO!$A:$K,ORÇAMENTO!$1:$4</definedName>
    <definedName function="false" hidden="false" localSheetId="1" name="_xlnm.Print_Titles" vbProcedure="false">PROPOSTA!$A:$I,PROPOSTA!$1:$4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<sst xmlns="http://schemas.openxmlformats.org/spreadsheetml/2006/main" count="6041" uniqueCount="1008">
  <si>
    <r>
      <rPr>
        <b val="true"/>
        <sz val="12"/>
        <color rgb="FF000000"/>
        <rFont val="Times New Roman"/>
        <family val="1"/>
        <charset val="1"/>
      </rPr>
      <t xml:space="preserve">PREFEITURA MUNICIPAL DE ORLÂNDIA
</t>
    </r>
    <r>
      <rPr>
        <b val="true"/>
        <sz val="8"/>
        <color rgb="FF000000"/>
        <rFont val="Times New Roman"/>
        <family val="1"/>
        <charset val="1"/>
      </rPr>
      <t xml:space="preserve">ESTADO DE SÃO PAULO
</t>
    </r>
    <r>
      <rPr>
        <b val="true"/>
        <sz val="10"/>
        <color rgb="FF000000"/>
        <rFont val="Times New Roman"/>
        <family val="1"/>
        <charset val="1"/>
      </rPr>
      <t xml:space="preserve">SECRETARIA MUNICIPAL DE INFRAESTRUTURA
</t>
    </r>
    <r>
      <rPr>
        <sz val="11"/>
        <color rgb="FF000000"/>
        <rFont val="Liberation Sans1"/>
        <family val="0"/>
        <charset val="1"/>
      </rPr>
      <t xml:space="preserve">
</t>
    </r>
    <r>
      <rPr>
        <sz val="8"/>
        <color rgb="FF000000"/>
        <rFont val="Times New Roman"/>
        <family val="1"/>
        <charset val="1"/>
      </rPr>
      <t xml:space="preserve">PÇA. CEL. ORLANDO, 600 – CX. POSTAL, 77 – CEP 14620-000 – FONE PABX (16) 3820-8010
CNPJ: 45.351.749/0001–11</t>
    </r>
  </si>
  <si>
    <t xml:space="preserve">PLANILHA ORÇAMENTÁRIA</t>
  </si>
  <si>
    <r>
      <rPr>
        <b val="true"/>
        <sz val="9"/>
        <color rgb="FF000000"/>
        <rFont val="Calibri"/>
        <family val="2"/>
        <charset val="1"/>
      </rPr>
      <t xml:space="preserve">BASE DA REFERÊNCIA:</t>
    </r>
    <r>
      <rPr>
        <sz val="9"/>
        <color rgb="FF000000"/>
        <rFont val="Calibri"/>
        <family val="2"/>
        <charset val="1"/>
      </rPr>
      <t xml:space="preserve"> BOLETIM CDHU 196 11/24 – SINAPI 12/24 – FDE 01/25 – NÃO DESONERADAS, COM BDI DE 20,70% - E COTAÇÕES DE MERCADO</t>
    </r>
  </si>
  <si>
    <t xml:space="preserve">ITEM</t>
  </si>
  <si>
    <t xml:space="preserve">FONTE</t>
  </si>
  <si>
    <t xml:space="preserve">CÓDIGO</t>
  </si>
  <si>
    <t xml:space="preserve">DESCRIÇÃO</t>
  </si>
  <si>
    <t xml:space="preserve">UNID.</t>
  </si>
  <si>
    <t xml:space="preserve">QNT.</t>
  </si>
  <si>
    <t xml:space="preserve">CUSTO UN.</t>
  </si>
  <si>
    <t xml:space="preserve">CUSTO TOTAL</t>
  </si>
  <si>
    <t xml:space="preserve">BDI</t>
  </si>
  <si>
    <t xml:space="preserve">PREÇO UN.</t>
  </si>
  <si>
    <t xml:space="preserve">PREÇO TOTAL</t>
  </si>
  <si>
    <t xml:space="preserve">1.</t>
  </si>
  <si>
    <t xml:space="preserve">SERVIÇOS PRELIMINARES</t>
  </si>
  <si>
    <t xml:space="preserve">1.1</t>
  </si>
  <si>
    <t xml:space="preserve">SINAPI-I</t>
  </si>
  <si>
    <t xml:space="preserve">PLACA DE OBRA (PARA CONSTRUCAO CIVIL) EM CHAPA GALVANIZADA *N. 22*, ADESIVADA DE *2,4 X 1,2* M (SEM POSTES PARA FIXACAO</t>
  </si>
  <si>
    <t xml:space="preserve">M²</t>
  </si>
  <si>
    <t xml:space="preserve">1.2</t>
  </si>
  <si>
    <t xml:space="preserve">FDE</t>
  </si>
  <si>
    <t xml:space="preserve">16.30.010</t>
  </si>
  <si>
    <t xml:space="preserve">TAPUME H=225CM APOIADO NO TERRENO E PINTURA LATEX FACE EXTERNA COM
LOGOTIPO</t>
  </si>
  <si>
    <t xml:space="preserve">M</t>
  </si>
  <si>
    <t xml:space="preserve">1.3</t>
  </si>
  <si>
    <t xml:space="preserve">CDHU</t>
  </si>
  <si>
    <t xml:space="preserve">02.02.150</t>
  </si>
  <si>
    <t xml:space="preserve">LOCAÇÃO DE CONTAINER TIPO DEPÓSITO ‐ ÁREA MÍNIMA DE 13,80 M²</t>
  </si>
  <si>
    <t xml:space="preserve">UNMES</t>
  </si>
  <si>
    <t xml:space="preserve">1.4</t>
  </si>
  <si>
    <t xml:space="preserve">02.02.140</t>
  </si>
  <si>
    <t xml:space="preserve">LOCAÇÃO DE CONTAINER TIPO SANITÁRIO COM 2 VASOS SANITÁRIOS, 2
LAVATÓRIOS, 2 MICTÓRIOS E 4 PONTOS PARA CHUVEIRO ‐ ÁREA MÍNIMA DE 13,80
M²</t>
  </si>
  <si>
    <t xml:space="preserve">TOTAL DO ITEM 1:</t>
  </si>
  <si>
    <t xml:space="preserve">2.</t>
  </si>
  <si>
    <t xml:space="preserve">PODA DAS ÁRVORES E DESTINAÇÃO FINAL </t>
  </si>
  <si>
    <t xml:space="preserve">2.1</t>
  </si>
  <si>
    <t xml:space="preserve"> 16.03.465</t>
  </si>
  <si>
    <t xml:space="preserve">PODA DE CONSERVAÇAO / ADEQUAÇAO PARA ARVORES TOPO DA COPA COM 
ALTURA SUPERIOR A 10M </t>
  </si>
  <si>
    <t xml:space="preserve">UN</t>
  </si>
  <si>
    <t xml:space="preserve">2.2</t>
  </si>
  <si>
    <t xml:space="preserve">16.03.464</t>
  </si>
  <si>
    <t xml:space="preserve">PODA DE CONSERVAÇAO / ADEQUAÇAO PARA ARVORES COM  ALTURA ATE 10M
 TOPO DA COPA.</t>
  </si>
  <si>
    <t xml:space="preserve">2.3</t>
  </si>
  <si>
    <t xml:space="preserve"> 16.03.001</t>
  </si>
  <si>
    <t xml:space="preserve">CORTE DE MATO E GRAMA - ROÇAGEM MECANIZADA</t>
  </si>
  <si>
    <t xml:space="preserve">2.4</t>
  </si>
  <si>
    <t xml:space="preserve"> 05.07.060</t>
  </si>
  <si>
    <t xml:space="preserve"> REMOÇÃO DE ENTULHO DE OBRA COM CAÇAMBA METÁLICA - MATERIAL 
REJEITADO E MISTURADO POR VEGETAÇÃO, ISOPOR, MANTA ASFÁLTICA E LÃ DE 
VIDRO</t>
  </si>
  <si>
    <t xml:space="preserve">M³</t>
  </si>
  <si>
    <t xml:space="preserve">2.5</t>
  </si>
  <si>
    <t xml:space="preserve"> 05.09.007</t>
  </si>
  <si>
    <t xml:space="preserve">TAXA DE DESTINAÇÃO DE RESÍDUO SÓLIDO EM ATERRO, TIPO SOLO/TERRA</t>
  </si>
  <si>
    <t xml:space="preserve">TOTAL DO ITEM 2:</t>
  </si>
  <si>
    <t xml:space="preserve">3.</t>
  </si>
  <si>
    <t xml:space="preserve">DEMOLIÇÃO E RECONSTRUÇÃO DAS CALÇADAS </t>
  </si>
  <si>
    <t xml:space="preserve">3.1</t>
  </si>
  <si>
    <t xml:space="preserve">SINAPI</t>
  </si>
  <si>
    <t xml:space="preserve">DEMOLIÇÃO DE PISO DE CONCRETO SIMPLES, DE FORMA MECANIZADA COM MARTELETE, SEM REAPROVEITAMENTO. AF_09/2023</t>
  </si>
  <si>
    <t xml:space="preserve">3.2</t>
  </si>
  <si>
    <t xml:space="preserve">3.3</t>
  </si>
  <si>
    <t xml:space="preserve">3.4</t>
  </si>
  <si>
    <t xml:space="preserve">LASTRO COM MATERIAL GRANULAR (PEDRA BRITADA N.3), APLICADO EM PISOS OULAJES SOBRE SOLO, ESPESSURA DE *10 CM*. AF_07/2019</t>
  </si>
  <si>
    <t xml:space="preserve">3.5</t>
  </si>
  <si>
    <t xml:space="preserve">SINAP</t>
  </si>
  <si>
    <t xml:space="preserve">APLICAÇÃO DE LONA PLÁSTICA PARA EXECUÇÃO DE PAVIMENTOS DE CONCRETO. AF_04/2022</t>
  </si>
  <si>
    <t xml:space="preserve">3.6</t>
  </si>
  <si>
    <t xml:space="preserve">EXECUÇÃO DE PASSEIO (CALÇADA) OU PISO DE CONCRETO COM CONCRETO MOLDADOIN LOCO, USINADO C25, ACABAMENTO CONVENCIONAL, NÃO ARMADO. AF_03/2023</t>
  </si>
  <si>
    <t xml:space="preserve">3.7</t>
  </si>
  <si>
    <t xml:space="preserve">13.80.032</t>
  </si>
  <si>
    <t xml:space="preserve">TELA Q-92 PARA PISO DE CONCRETO</t>
  </si>
  <si>
    <t xml:space="preserve">TOTAL DO ITEM 3:</t>
  </si>
  <si>
    <t xml:space="preserve">4.</t>
  </si>
  <si>
    <t xml:space="preserve">RECAPEAMENTO ASFÁLTICO GERAL DO PARQUE </t>
  </si>
  <si>
    <t xml:space="preserve">4.1</t>
  </si>
  <si>
    <t xml:space="preserve">54.01.410</t>
  </si>
  <si>
    <t xml:space="preserve">VARRIÇÃO DE PAVIMENTO PARA RECAPEAMENTO</t>
  </si>
  <si>
    <t xml:space="preserve">4.2</t>
  </si>
  <si>
    <t xml:space="preserve">54.03.230</t>
  </si>
  <si>
    <t xml:space="preserve">IMPRIMAÇÃO BETUMINOSA LIGANTE</t>
  </si>
  <si>
    <t xml:space="preserve">4.3</t>
  </si>
  <si>
    <t xml:space="preserve">EXECUÇÃO DE PAVIMENTO COM APLICAÇÃO DE CONCRETO ASFÁLTICO, CAMADA DE ROLAMENTO - EXCLUSIVE CARGA E TRANSPORTE. AF_11/2019</t>
  </si>
  <si>
    <t xml:space="preserve">4.4</t>
  </si>
  <si>
    <t xml:space="preserve"> TRANSPORTE COM CAMINHÃO BASCULANTE DE 10 M³, EM VIA URBANA PAVIMENTADA  M3XKM , ADICIONAL PARA DMT EXCEDENTE A 30 KM (UNIDADE: M3XKM). AF_07/2020</t>
  </si>
  <si>
    <t xml:space="preserve">M3XKM</t>
  </si>
  <si>
    <t xml:space="preserve">4.5</t>
  </si>
  <si>
    <t xml:space="preserve">CARGA DE MISTURA ASFÁLTICA EM CAMINHÃO BASCULANTE 10 M³ (UNIDADE: M3).  AF_07/2020</t>
  </si>
  <si>
    <t xml:space="preserve">TOTAL DO ITEM 4:</t>
  </si>
  <si>
    <t xml:space="preserve">5.</t>
  </si>
  <si>
    <t xml:space="preserve">REGULARIZAÇÃO TERRENO - (VALA PRESENTE NO GRAMADO G1 DA RUA 14)</t>
  </si>
  <si>
    <t xml:space="preserve">5.1</t>
  </si>
  <si>
    <t xml:space="preserve">ATERRO MECANIZADO DE VALA COM ESCAVADEIRA HIDRÁULICA (CAPACIDADE DA CAÇAMBA: 0,8 M³ / POTÊNCIA: 111 HP), LARGURA ATÉ 1,5 M, PROFUNDIDADE DE 1,5 A 3,0 M, COM SOLO ARGILO-ARENOSO. AF_05/2016</t>
  </si>
  <si>
    <t xml:space="preserve">5.2</t>
  </si>
  <si>
    <t xml:space="preserve">PLANTIO DE GRAMA BATATAIS EM PLACAS. AF_05/2018</t>
  </si>
  <si>
    <t xml:space="preserve">TOTAL DO ITEM 5:</t>
  </si>
  <si>
    <t xml:space="preserve">6.</t>
  </si>
  <si>
    <t xml:space="preserve">READEQUAÇÃO E AMPLIAÇÃO DAS GUARITAS</t>
  </si>
  <si>
    <t xml:space="preserve">FUNDAÇÃO</t>
  </si>
  <si>
    <t xml:space="preserve">6.1</t>
  </si>
  <si>
    <t xml:space="preserve">02.02.101</t>
  </si>
  <si>
    <t xml:space="preserve">ESTACA ESCAVADA MECANICAMENTE DIAM 30CM</t>
  </si>
  <si>
    <t xml:space="preserve">6.2</t>
  </si>
  <si>
    <t xml:space="preserve">CORTE E DOBRA DE AÇO CA-60, DIÂMETRO DE 5,0 MM. AF_06/2022</t>
  </si>
  <si>
    <t xml:space="preserve">KG</t>
  </si>
  <si>
    <t xml:space="preserve">6.3</t>
  </si>
  <si>
    <t xml:space="preserve">CORTE E DOBRA DE AÇO CA-50, DIÂMETRO DE 10,0 MM. AF_06/2022</t>
  </si>
  <si>
    <t xml:space="preserve">6.4</t>
  </si>
  <si>
    <t xml:space="preserve">ESCAVAÇÃO MANUAL DE VALA PARA VIGA BALDRAME (SEM ESCAVAÇÃO PARA COLOCAÇÃO DE FÔRMAS). AF_06/2017</t>
  </si>
  <si>
    <t xml:space="preserve">6.5</t>
  </si>
  <si>
    <t xml:space="preserve">PREPARO DE FUNDO DE VALA COM LARGURA MENOR QUE 1,5 M, COM CAMADA DE BRITA, LANÇAMENTO MANUAL. AF_08/2020</t>
  </si>
  <si>
    <t xml:space="preserve">6.6</t>
  </si>
  <si>
    <t xml:space="preserve">6.7</t>
  </si>
  <si>
    <t xml:space="preserve">6.8</t>
  </si>
  <si>
    <t xml:space="preserve">CONCRETAGEM DE BLOCOS DE COROAMENTO E VIGAS BALDRAMES, FCK 30 MPA, COM USO DE BOMBA LANÇAMENTO, ADENSAMENTO E ACABAMENTO. AF_06/2017</t>
  </si>
  <si>
    <t xml:space="preserve">6.9</t>
  </si>
  <si>
    <t xml:space="preserve">ALVENARIA DE EMBASAMENTO COM BLOCO ESTRUTURAL DE CONCRETO, DE 14X19X29 CM E ARGAMASSA DE ASSENTAMENTO COM PREPARO EM BETONEIRA. AF_05/2020</t>
  </si>
  <si>
    <t xml:space="preserve">INFRAESTRUTURA </t>
  </si>
  <si>
    <t xml:space="preserve">6.10</t>
  </si>
  <si>
    <t xml:space="preserve">MONTAGEM E DESMONTAGEM DE FÔRMA DE PILARES RETANGULARES E ESTRUTURAS SIMILARES, PÉ-DIREITO SIMPLES, EM CHAPA DE MADEIRA COMPENSADA RESINADA,
2 UTILIZAÇÕES. AF_09/2020</t>
  </si>
  <si>
    <t xml:space="preserve">6.11</t>
  </si>
  <si>
    <t xml:space="preserve">6.12</t>
  </si>
  <si>
    <t xml:space="preserve">6.13</t>
  </si>
  <si>
    <t xml:space="preserve">CONCRETAGEM DE PILARES, FCK = 25 MPA, COM USO DE GRUA - LANÇAMENTO, ADENSAMENTO E ACABAMENTO. AF_02/2022</t>
  </si>
  <si>
    <t xml:space="preserve">6.14</t>
  </si>
  <si>
    <t xml:space="preserve">ALVENARIA DE VEDAÇÃO DE BLOCOS CERÂMICOS FURADOS NA VERTICAL DE 14X19X39 CM (ESPESSURA 14 CM) E ARGAMASSA DE ASSENTAMENTO COM PREPARO EM BET
ONEIRA. AF_12/2021</t>
  </si>
  <si>
    <t xml:space="preserve">6.15</t>
  </si>
  <si>
    <t xml:space="preserve">16.15.003</t>
  </si>
  <si>
    <t xml:space="preserve">VERGA / CINTA EM BLOCO DE CONCRETO CANALETA 14X19X39 CM</t>
  </si>
  <si>
    <t xml:space="preserve">6.16</t>
  </si>
  <si>
    <t xml:space="preserve">MONTAGEM E DESMONTAGEM DE FÔRMA DE VIGA, ESCORAMENTO COM GARFO DE MADEIRA, PÉ-DIREITO SIMPLES, EM CHAPA DE MADEIRA RESINADA, 2 UTILIZAÇÕES.
AF_09/2020</t>
  </si>
  <si>
    <t xml:space="preserve">6.17</t>
  </si>
  <si>
    <t xml:space="preserve">6.18</t>
  </si>
  <si>
    <t xml:space="preserve">6.19</t>
  </si>
  <si>
    <t xml:space="preserve">CORTE E DOBRA DE AÇO CA-50, DIÂMETRO DE 12,5 MM. AF_06/2022 </t>
  </si>
  <si>
    <t xml:space="preserve">6.20</t>
  </si>
  <si>
    <t xml:space="preserve">CONCRETAGEM DE VIGAS E LAJES, FCK=25 MPA, PARA LAJES MACIÇAS OU NERVURADAS COM USO DE BOMBA - LANÇAMENTO, ADENSAMENTO E ACABAMENTO. AF_02/2022</t>
  </si>
  <si>
    <t xml:space="preserve">6.21</t>
  </si>
  <si>
    <t xml:space="preserve"> 13.01.320</t>
  </si>
  <si>
    <t xml:space="preserve"> LAJE PRÉ‐FABRICADA UNIDIRECIONAL EM VIGA TRELIÇADA/LAJOTA EM EPS LT 16 
(12 + 4), COM CAPA DE CONCRETO DE 25 MPA</t>
  </si>
  <si>
    <t xml:space="preserve">TELHADO</t>
  </si>
  <si>
    <t xml:space="preserve">6.22</t>
  </si>
  <si>
    <t xml:space="preserve">FABRICAÇÃO E INSTALAÇÃO DE TESOURA INTEIRA EM AÇO, VÃO DE 3 M, PARA TELHA ONDULADA DE FIBROCIMENTO, METÁLICA, PLÁSTICA OU TERMOACÚSTICA, INCLUSO IÇAMENTO. AF_12/2015</t>
  </si>
  <si>
    <t xml:space="preserve">6.23</t>
  </si>
  <si>
    <t xml:space="preserve">TRAMA DE AÇO COMPOSTA POR TERÇAS PARA TELHADOS DE ATÉ 2 ÁGUAS PARA TELHA ONDULADA DE FIBROCIMENTO, METÁLICA, PLÁSTICA OU TERMOACÚSTICA, INCLUSO TRANSPORTE VERTICAL. AF_07/2019</t>
  </si>
  <si>
    <t xml:space="preserve">6.24</t>
  </si>
  <si>
    <t xml:space="preserve">16.13.130</t>
  </si>
  <si>
    <t xml:space="preserve">TELHAMENTO EM CHAPA DE AÇO COM PINTURA POLIÉSTER, TIPO SANDUÍCHE, ESPESSURA DE 0,50 MM, COM POLIESTIRENO EXPANDIDO</t>
  </si>
  <si>
    <t xml:space="preserve">6.25</t>
  </si>
  <si>
    <t xml:space="preserve">08.12.015</t>
  </si>
  <si>
    <t xml:space="preserve">CALHA OU AGUA FURTADA EM CHAPA GALV. N 24 - CORTE 0,33M</t>
  </si>
  <si>
    <t xml:space="preserve">6.26</t>
  </si>
  <si>
    <t xml:space="preserve">08.12.003</t>
  </si>
  <si>
    <t xml:space="preserve">CONDUTOR DE CHAPA GALVANIZADA N 24 - DESENVOLVIMENTO DE 0,33 M</t>
  </si>
  <si>
    <t xml:space="preserve">6.27</t>
  </si>
  <si>
    <t xml:space="preserve">RUFO EM CHAPA DE AÇO GALVANIZADO NÚMERO 24, CORTE DE 25 CM, INCLUSO TRANSPORTE VERTICAL.
</t>
  </si>
  <si>
    <t xml:space="preserve">PAREDES</t>
  </si>
  <si>
    <t xml:space="preserve">6.28</t>
  </si>
  <si>
    <t xml:space="preserve">CHAPISCO APLICADO EM ALVENARIAS E ESTRUTURAS DE CONCRETO INTERNAS, COM COLHER DE PEDREIRO. ARGAMASSA TRAÇO 1:3 COM PREPARO EM BETONEIRA 400 L. AF_06/2014</t>
  </si>
  <si>
    <t xml:space="preserve">6.29</t>
  </si>
  <si>
    <t xml:space="preserve">17.02.120</t>
  </si>
  <si>
    <t xml:space="preserve">EMBOÇO COMUM</t>
  </si>
  <si>
    <t xml:space="preserve">6.30</t>
  </si>
  <si>
    <t xml:space="preserve">17.02.220</t>
  </si>
  <si>
    <t xml:space="preserve">REBOCO</t>
  </si>
  <si>
    <t xml:space="preserve">6.31</t>
  </si>
  <si>
    <t xml:space="preserve">18.13.020</t>
  </si>
  <si>
    <t xml:space="preserve">REVESTIMENTO EM PLACA CERÂMICA EXTRUDADA DE ALTA RESISTÊNCIA QUÍMICA E MECÂNICA, ESPESSURA ENTRE 9 E 10 MM, ASSENTADO COM ARGAMASSA INDUSTRIALIZADA DE ALTA ADERÊNCIA</t>
  </si>
  <si>
    <t xml:space="preserve">6.32</t>
  </si>
  <si>
    <t xml:space="preserve">APLICAÇÃO MANUAL DE FUNDO SELADOR ACRÍLICO EM PANOS COM PRESENÇA DE VÃOS DE EDIFÍCIOS DE MÚLTIPLOS PAVIMENTOS. AF_06/2014</t>
  </si>
  <si>
    <t xml:space="preserve">6.33</t>
  </si>
  <si>
    <t xml:space="preserve">FUNDO SELADOR ACRÍLICO, APLICAÇÃO MANUAL EM TETO, UMA DEMÃO. AF_04/2023</t>
  </si>
  <si>
    <t xml:space="preserve">6.34</t>
  </si>
  <si>
    <t xml:space="preserve">APLICAÇÃO MANUAL DE PINTURA COM TINTA LÁTEX ACRÍLICA EM PAREDES, DUAS DEMÃOS. AF_06/2014</t>
  </si>
  <si>
    <t xml:space="preserve">PISO</t>
  </si>
  <si>
    <t xml:space="preserve">6.35</t>
  </si>
  <si>
    <t xml:space="preserve">LASTRO COM MATERIAL GRANULAR (PEDRA BRITADA N.2), APLICADO EM PISOS OU LAJES SOBRE SOLO, ESPESSURA DE *10 CM*. AF_08/2017</t>
  </si>
  <si>
    <t xml:space="preserve">6.36</t>
  </si>
  <si>
    <t xml:space="preserve">6.37</t>
  </si>
  <si>
    <t xml:space="preserve"> 13.80.007</t>
  </si>
  <si>
    <t xml:space="preserve">PISO DE CONCRETO FCK=25MPA E=5CM</t>
  </si>
  <si>
    <t xml:space="preserve">6.38</t>
  </si>
  <si>
    <t xml:space="preserve"> CONTRAPISO COM ARGAMASSA AUTONIVELANTE, APLICADO SOBRE LAJE, NÃO ADERIDO, ESPESSURA 5CM. AF_07/2021</t>
  </si>
  <si>
    <t xml:space="preserve">6.39</t>
  </si>
  <si>
    <t xml:space="preserve"> TELA DE ACO SOLDADA NERVURADA, CA-60, Q-113, (1,8 KG/M2), DIAMETRO DO FIO = 3,8 MM,
 LARGURA = 2,45 M, ESPACAMENTO DA MALHA = 10 X 10 CM</t>
  </si>
  <si>
    <t xml:space="preserve">6.40</t>
  </si>
  <si>
    <t xml:space="preserve">REVESTIMENTO CERÂMICO PARA PISO COM PLACAS TIPO ESMALTADA EXTRA DE DIMENSÕES 60X60 CM APLICADA EM AMBIENTES DE ÁREA MAIOR QUE 10 M2. AF_06/2014</t>
  </si>
  <si>
    <t xml:space="preserve">6.41</t>
  </si>
  <si>
    <t xml:space="preserve">RODAPÉ CERÂMICO DE 7CM DE ALTURA COM PLACAS TIPO ESMALTADA EXTRA DE DIMENSÕES 60X60CM. AF_06/2014</t>
  </si>
  <si>
    <t xml:space="preserve">6.42</t>
  </si>
  <si>
    <t xml:space="preserve">19.01.062</t>
  </si>
  <si>
    <t xml:space="preserve">PEITORIL E/OU SOLEIRA EM GRANITO, ESPESSURA DE 2 CM E LARGURA ATÉ 20 CM, ACABAMENTO POLIDO</t>
  </si>
  <si>
    <t xml:space="preserve">ESQUADRIAS</t>
  </si>
  <si>
    <t xml:space="preserve">6.43</t>
  </si>
  <si>
    <t xml:space="preserve"> 25.01.371</t>
  </si>
  <si>
    <t xml:space="preserve">CAIXILHO EM ALUMÍNIO BASCULANTE COM VIDRO ‐ BRANCO</t>
  </si>
  <si>
    <t xml:space="preserve">6.44</t>
  </si>
  <si>
    <t xml:space="preserve">23.13.052</t>
  </si>
  <si>
    <t xml:space="preserve">PORTA LISA DE MADEIRA, INTERNA, RESISTENTE A UMIDADE "PIM RU", PARA
ACABAMENTO EM PINTURA, TIPO ACESSÍVEL, PADRÃO DIMENSIONAL
MÉDIO/PESADO, COM FERRAGENS, COMPLETO ‐ 90 X 210 CM</t>
  </si>
  <si>
    <t xml:space="preserve">6.45</t>
  </si>
  <si>
    <t xml:space="preserve">PINTURA TINTA DE ACABAMENTO (PIGMENTADA) ESMALTE SINTÉTICO ACETINADO EM MADEIRA, 2 DEMÃOS. AF_01/2021</t>
  </si>
  <si>
    <t xml:space="preserve">BANHEIRO PNE DA GUARITA</t>
  </si>
  <si>
    <t xml:space="preserve">6.46</t>
  </si>
  <si>
    <t xml:space="preserve">08.16.055</t>
  </si>
  <si>
    <t xml:space="preserve">BR-09 LAVATORIO ACESSIVEL</t>
  </si>
  <si>
    <t xml:space="preserve">CJ</t>
  </si>
  <si>
    <t xml:space="preserve">6.47</t>
  </si>
  <si>
    <t xml:space="preserve">30.01.061</t>
  </si>
  <si>
    <t xml:space="preserve">BARRA DE APOIO LATERAL PARA LAVATÓRIO, PARA PESSOAS COM MOBILIDADE
REDUZIDA, EM TUBO DE AÇO INOXIDÁVEL DE 1.1/4", COMPRIMENTO 25 A 30
CM</t>
  </si>
  <si>
    <t xml:space="preserve">6.48</t>
  </si>
  <si>
    <t xml:space="preserve">30.01.010</t>
  </si>
  <si>
    <t xml:space="preserve">BARRA DE APOIO RETA, PARA PESSOAS COM MOBILIDADE REDUZIDA, EM TUBO
DE AÇO INOXIDÁVEL DE 1 1/2´</t>
  </si>
  <si>
    <t xml:space="preserve">6.49</t>
  </si>
  <si>
    <t xml:space="preserve">08.16.054</t>
  </si>
  <si>
    <t xml:space="preserve">BR-08 BACIA PARA SANITARIO ACESSIVEL</t>
  </si>
  <si>
    <t xml:space="preserve">ESGOTO</t>
  </si>
  <si>
    <t xml:space="preserve">6.50</t>
  </si>
  <si>
    <t xml:space="preserve">16.08.028</t>
  </si>
  <si>
    <t xml:space="preserve">CI-01 CAIXA DE INSPECAO 60X60CM PARA ESGOTO</t>
  </si>
  <si>
    <t xml:space="preserve">6.51</t>
  </si>
  <si>
    <t xml:space="preserve">08.09.062</t>
  </si>
  <si>
    <t xml:space="preserve">TUBO PVC REFORÇADO "SR" JUNTA ELÁSTICA DN 75 INCL CONEXÕES</t>
  </si>
  <si>
    <t xml:space="preserve">6.52</t>
  </si>
  <si>
    <t xml:space="preserve">08.09.063</t>
  </si>
  <si>
    <t xml:space="preserve">TUBO PVC REFORÇADO "SR" JUNTA ELÁSTICA DN 100 INCL CONEXÕES</t>
  </si>
  <si>
    <t xml:space="preserve">6.53</t>
  </si>
  <si>
    <t xml:space="preserve">08.09.064</t>
  </si>
  <si>
    <t xml:space="preserve">TUBO PVC REFORÇADO "SR" JUNTA ELÁSTICA DN 150 INCL CONEXÕES </t>
  </si>
  <si>
    <t xml:space="preserve">CAIXA D'ÁGUA</t>
  </si>
  <si>
    <t xml:space="preserve">6.54</t>
  </si>
  <si>
    <t xml:space="preserve">CAIXA D´ÁGUA EM POLIETILENO, 500 LITROS - FORNECIMENTO E INSTALAÇÃO. A  F_06/2021</t>
  </si>
  <si>
    <t xml:space="preserve">6.55</t>
  </si>
  <si>
    <t xml:space="preserve">KIT DE REGISTRO DE GAVETA BRUTO DE LATÃO ½", INCLUSIVE CONEXÕES, ROSCÁVEL, INSTALADO EM RAMAL DE ÁGUA FRIA - FORNECIMENTO E INSTALAÇÃO</t>
  </si>
  <si>
    <t xml:space="preserve">TUBOS ÁGUA FRIA E QUENTE - ISOMETRICO</t>
  </si>
  <si>
    <t xml:space="preserve">6.56</t>
  </si>
  <si>
    <t xml:space="preserve">46.01.040</t>
  </si>
  <si>
    <t xml:space="preserve">TUBO DE PVC RÍGIDO SOLDÁVEL MARROM, DN= 40 MM, (1 1/4´), INCLUSIVE
CONEXÕES</t>
  </si>
  <si>
    <t xml:space="preserve">6.57</t>
  </si>
  <si>
    <t xml:space="preserve">47.02.020</t>
  </si>
  <si>
    <t xml:space="preserve">REGISTRO DE GAVETA EM LATÃO FUNDIDO CROMADO COM CANOPLA, DN= 3/4´ ‐
LINHA ESPECIAL</t>
  </si>
  <si>
    <t xml:space="preserve">ESQUADRIAS DAS GUARITAS</t>
  </si>
  <si>
    <t xml:space="preserve">6.58</t>
  </si>
  <si>
    <t xml:space="preserve"> 25.01.380</t>
  </si>
  <si>
    <t xml:space="preserve"> CAIXILHO EM ALUMÍNIO DE CORRER COM VIDRO ‐ BRANCO</t>
  </si>
  <si>
    <t xml:space="preserve">6.59</t>
  </si>
  <si>
    <t xml:space="preserve">16.01.058</t>
  </si>
  <si>
    <t xml:space="preserve">GRADIL ELETROFUNDIDO GALV. COM PINTURA ELETROSTATICA 62X132MM BARRA
 25X2MM</t>
  </si>
  <si>
    <t xml:space="preserve">M² </t>
  </si>
  <si>
    <t xml:space="preserve">TOTAL DO ITEM 6:</t>
  </si>
  <si>
    <t xml:space="preserve">7.</t>
  </si>
  <si>
    <t xml:space="preserve">DEMOLIÇÃO E CONSTRUÇÃO DE RAMPA DE ACESSIBILIDADE - GUARITA RUA 10</t>
  </si>
  <si>
    <t xml:space="preserve">7.1</t>
  </si>
  <si>
    <t xml:space="preserve">16.50.010</t>
  </si>
  <si>
    <t xml:space="preserve">DEMOLICAO DE PISO DE CONCRETO SIMPLES CAPEADO</t>
  </si>
  <si>
    <t xml:space="preserve">7.2</t>
  </si>
  <si>
    <t xml:space="preserve">16.80.098</t>
  </si>
  <si>
    <t xml:space="preserve">RETIRADA DE ENTULHO</t>
  </si>
  <si>
    <t xml:space="preserve">7.3</t>
  </si>
  <si>
    <t xml:space="preserve">CARGA, MANOBRA E DESCARGA DE ENTULHO EM CAMINHÃO BASCULANTE 10 M³ - CARGA COM ESCAVADEIRA HIDRÁULICA (CAÇAMBA DE 0,80 M³ / 111 HP) E DESCARGA LIVRE (UNIDADE: M3). AF_07/2020</t>
  </si>
  <si>
    <t xml:space="preserve">7.4</t>
  </si>
  <si>
    <t xml:space="preserve">TRANSPORTE COM CAMINHÃO BASCULANTE DE 10 M³, EM VIA URBANA PAVIMENTADA, DMT ATÉ 30 KM (UNIDADE: M3XKM). AF_07/2020</t>
  </si>
  <si>
    <t xml:space="preserve">M³XKM</t>
  </si>
  <si>
    <t xml:space="preserve">7.5</t>
  </si>
  <si>
    <t xml:space="preserve">LASTRO COM MATERIAL GRANULAR (PEDRA BRITADA N.1 E PEDRA BRITADA N.2), APLICADO EM PISOS OU LAJES SOBRE SOLO, ESPESSURA DE *10 CM*. AF_07/2019</t>
  </si>
  <si>
    <t xml:space="preserve">7.6</t>
  </si>
  <si>
    <t xml:space="preserve">PISO CIMENTADO, TRAÇO 1:3 (CIMENTO E AREIA), ACABAMENTO LISO, ESPESSURA 4,0 CM, PREPARO MECÂNICO DA ARGAMASSA. AF_09/2020</t>
  </si>
  <si>
    <t xml:space="preserve">7.7</t>
  </si>
  <si>
    <t xml:space="preserve">EXECUÇÃO DE PASSEIO (CALÇADA) OU PISO DE CONCRETO COM CONCRETO MOLDADO IN LOCO, FEITO EM OBRA, ACABAMENTO CONVENCIONAL, NÃO ARMADO. AF_07/20 16</t>
  </si>
  <si>
    <t xml:space="preserve">7.8</t>
  </si>
  <si>
    <t xml:space="preserve">PISO PODOTÁTIL, DIRECIONAL OU ALERTA, ASSENTADO SOBRE ARGAMASSA. AF_05/2020</t>
  </si>
  <si>
    <t xml:space="preserve">TOTAL DO ITEM 7:</t>
  </si>
  <si>
    <t xml:space="preserve">8.</t>
  </si>
  <si>
    <t xml:space="preserve">CONSTRUÇÃO DE RAMPAS DE ACESSIBILIDADE - ÁREA DOS BRINQUEDOS </t>
  </si>
  <si>
    <t xml:space="preserve">8.1</t>
  </si>
  <si>
    <t xml:space="preserve">01.03.001</t>
  </si>
  <si>
    <t xml:space="preserve"> CORTE E ATERRO DENTRO DA OBRA COM TRANSPORTE INTERNO</t>
  </si>
  <si>
    <t xml:space="preserve">8.2</t>
  </si>
  <si>
    <t xml:space="preserve">8.3</t>
  </si>
  <si>
    <t xml:space="preserve">8.4</t>
  </si>
  <si>
    <t xml:space="preserve">8.5</t>
  </si>
  <si>
    <t xml:space="preserve">8.6</t>
  </si>
  <si>
    <t xml:space="preserve">8.7</t>
  </si>
  <si>
    <t xml:space="preserve">15.02.080</t>
  </si>
  <si>
    <t xml:space="preserve"> TINTA LATEX PARA PISO</t>
  </si>
  <si>
    <t xml:space="preserve">8.8</t>
  </si>
  <si>
    <t xml:space="preserve">TOTAL DO ITEM 8:</t>
  </si>
  <si>
    <t xml:space="preserve">9.</t>
  </si>
  <si>
    <t xml:space="preserve">DEMOLIÇÃO E CONSTRUÇÃO DA BASE DOS EQUIPAMENTOS DE ACADEMIA</t>
  </si>
  <si>
    <t xml:space="preserve">9.1</t>
  </si>
  <si>
    <t xml:space="preserve">TOTAL DO ITEM 9:</t>
  </si>
  <si>
    <t xml:space="preserve">10.</t>
  </si>
  <si>
    <t xml:space="preserve">EQUIPAMENTOS DE ACADEMIA</t>
  </si>
  <si>
    <t xml:space="preserve">10.1</t>
  </si>
  <si>
    <t xml:space="preserve">INSTALAÇÃO DE PLACA ORIENTATIVA SOBRE EXERCÍCIOS, 2,00M X 1,00M, EM TUBO DE AÇO CARBONO - PARA ACADEMIA AO AR LIVRE / ACADEMIA DA TERCEIRA IDADE - ATI, INSTALADO SOBRE SOLO. AF_10/2021</t>
  </si>
  <si>
    <t xml:space="preserve">10.2</t>
  </si>
  <si>
    <t xml:space="preserve"> INSTALAÇÃO DE SIMULADOR DE REMO INDIVIDUAL, EM TUBO DE AÇO CARBONO - E QUIPAMENTO DE GINÁSTICA PARA ACADEMIA AO AR LIVRE / ACADEMIA DA TERCEIRA IDADE - ATI, INSTALADO SOBRE PISO DE CONCRETO EXISTENTE. AF_10/2022</t>
  </si>
  <si>
    <t xml:space="preserve">10.3</t>
  </si>
  <si>
    <t xml:space="preserve">INSTALAÇÃO DE ALONGADOR COM TRÊS ALTURAS, EM TUBO DE AÇO CARBONO - EQUIPAMENTO DE GINÁSTICA PARA ACADEMIA AO AR LIVRE / ACADEMIA DA TERCEIRA IDADE - ATI, INSTALADO SOBRE PISO DE CONCRETO EXISTENTE. AF_10/2021</t>
  </si>
  <si>
    <t xml:space="preserve">10.4</t>
  </si>
  <si>
    <t xml:space="preserve">INSTALAÇÃO DE PRESSÃO DE PERNAS TRIPLO, EM TUBO DE AÇO CARBONO - EQUIPAMENTO DE GINÁSTICA PARA ACADEMIA AO AR LIVRE / ACADEMIA DA TERCEIRA IDADE - ATI, INSTALADO SOBRE PISO DE CONCRETO EXISTENTE. AF_10/2021</t>
  </si>
  <si>
    <t xml:space="preserve">10.5</t>
  </si>
  <si>
    <t xml:space="preserve">INSTALAÇÃO DE SURF DUPLO, EM TUBO DE AÇO CARBONO - EQUIPAMENTO DE GINÁ STICA PARA ACADEMIA AO AR LIVRE / ACADEMIA DA TERCEIRA IDADE - ATI, INSTALADO SOBRE SOLO. AF_10/2021</t>
  </si>
  <si>
    <t xml:space="preserve">10.6</t>
  </si>
  <si>
    <t xml:space="preserve">INSTALAÇÃO DE ROTAÇÃO VERTICAL DUPLO, EM TUBO DE AÇO CARBONO - EQUIPAM ENTO DE GINÁSTICA PARA ACADEMIA AO AR LIVRE / ACADEMIA DA TERCEIRA IDADE - ATI, INSTALADO SOBRE SOLO. AF_10/2021</t>
  </si>
  <si>
    <t xml:space="preserve">10.7</t>
  </si>
  <si>
    <t xml:space="preserve">INSTALAÇÃO DE ROTAÇÃO DIAGONAL DUPLA, APARELHO TRIPLO, EM TUBO DE AÇO CARBONO - EQUIPAMENTO DE GINÁSTICA PARA ACADEMIA AO AR LIVRE / ACADEMIA DA TERCEIRA IDADE - ATI, INSTALADO SOBRE SOLO. AF_10/2021</t>
  </si>
  <si>
    <t xml:space="preserve">TOTAL DO ITEM 10:</t>
  </si>
  <si>
    <t xml:space="preserve">11.</t>
  </si>
  <si>
    <t xml:space="preserve">CONSTRUÇÃO DOS BANHEIROS - FEMININO E MASCULINO</t>
  </si>
  <si>
    <t xml:space="preserve">11.1</t>
  </si>
  <si>
    <t xml:space="preserve">11.2</t>
  </si>
  <si>
    <t xml:space="preserve">11.3</t>
  </si>
  <si>
    <t xml:space="preserve">11.4</t>
  </si>
  <si>
    <t xml:space="preserve">11.5</t>
  </si>
  <si>
    <t xml:space="preserve">11.6</t>
  </si>
  <si>
    <t xml:space="preserve">11.7</t>
  </si>
  <si>
    <t xml:space="preserve">11.8</t>
  </si>
  <si>
    <t xml:space="preserve">11.9</t>
  </si>
  <si>
    <t xml:space="preserve">11.10</t>
  </si>
  <si>
    <t xml:space="preserve">11.11</t>
  </si>
  <si>
    <t xml:space="preserve">11.12</t>
  </si>
  <si>
    <t xml:space="preserve">11.13</t>
  </si>
  <si>
    <t xml:space="preserve">11.14</t>
  </si>
  <si>
    <t xml:space="preserve">11.15</t>
  </si>
  <si>
    <t xml:space="preserve">16.15.004</t>
  </si>
  <si>
    <t xml:space="preserve">VERGA / CINTA EM BLOCO DE CONCRETO CANALETA 19X19X39 CM</t>
  </si>
  <si>
    <t xml:space="preserve">11.16</t>
  </si>
  <si>
    <t xml:space="preserve">11.17</t>
  </si>
  <si>
    <t xml:space="preserve">11.18</t>
  </si>
  <si>
    <t xml:space="preserve">11.19</t>
  </si>
  <si>
    <t xml:space="preserve">11.20</t>
  </si>
  <si>
    <t xml:space="preserve">11.21</t>
  </si>
  <si>
    <t xml:space="preserve">11.22</t>
  </si>
  <si>
    <t xml:space="preserve"> FABRICAÇÃO E INSTALAÇÃO DE TESOURA INTEIRA EM MADEIRA NÃO APARELHADA, VÃO DE 6 M, PARA TELHA CERÂMICA OU DE CONCRETO, INCLUSO IÇAMENTO. AF_07/2019</t>
  </si>
  <si>
    <t xml:space="preserve">11.23</t>
  </si>
  <si>
    <t xml:space="preserve">TRAMA DE MADEIRA COMPOSTA POR RIPAS, CAIBROS E TERÇAS PARA TELHADOS DEMAIS QUE 2 ÁGUAS PARA TELHA DE ENCAIXE DE CERÂMICA OU DE CONCRETO, INCLUSO TRANSPORTE VERTICAL. AF_07/2019</t>
  </si>
  <si>
    <t xml:space="preserve">11.24</t>
  </si>
  <si>
    <t xml:space="preserve"> 07.03.110</t>
  </si>
  <si>
    <t xml:space="preserve">TELHA CERAMICA TIPO ROMANA</t>
  </si>
  <si>
    <t xml:space="preserve">11.25</t>
  </si>
  <si>
    <t xml:space="preserve">07.05.080</t>
  </si>
  <si>
    <t xml:space="preserve">SUB-COBERTURA COM MANTA ALUMINIZADA</t>
  </si>
  <si>
    <t xml:space="preserve">11.26</t>
  </si>
  <si>
    <t xml:space="preserve">11.27</t>
  </si>
  <si>
    <t xml:space="preserve">11.28</t>
  </si>
  <si>
    <t xml:space="preserve">11.29</t>
  </si>
  <si>
    <t xml:space="preserve">11.30</t>
  </si>
  <si>
    <t xml:space="preserve">11.31</t>
  </si>
  <si>
    <t xml:space="preserve">11.32</t>
  </si>
  <si>
    <t xml:space="preserve">11.33</t>
  </si>
  <si>
    <t xml:space="preserve">11.34</t>
  </si>
  <si>
    <t xml:space="preserve">11.35</t>
  </si>
  <si>
    <t xml:space="preserve">11.36</t>
  </si>
  <si>
    <t xml:space="preserve">11.37</t>
  </si>
  <si>
    <t xml:space="preserve">11.38</t>
  </si>
  <si>
    <t xml:space="preserve">11.39</t>
  </si>
  <si>
    <t xml:space="preserve">11.40</t>
  </si>
  <si>
    <t xml:space="preserve">11.41</t>
  </si>
  <si>
    <t xml:space="preserve">11.42</t>
  </si>
  <si>
    <t xml:space="preserve">11.43</t>
  </si>
  <si>
    <t xml:space="preserve">11.44</t>
  </si>
  <si>
    <t xml:space="preserve">11.45</t>
  </si>
  <si>
    <t xml:space="preserve">24.02.070</t>
  </si>
  <si>
    <t xml:space="preserve">PORTA DE FERRO DE ABRIR TIPO VENEZIANA, LINHA COMERCIAL</t>
  </si>
  <si>
    <t xml:space="preserve">BANHEIRO PNE</t>
  </si>
  <si>
    <t xml:space="preserve">11.46</t>
  </si>
  <si>
    <t xml:space="preserve">11.47</t>
  </si>
  <si>
    <t xml:space="preserve">11.48</t>
  </si>
  <si>
    <t xml:space="preserve">  WC FEMININO E MASCULINO</t>
  </si>
  <si>
    <t xml:space="preserve">11.49</t>
  </si>
  <si>
    <t xml:space="preserve">08.16.001</t>
  </si>
  <si>
    <t xml:space="preserve">BACIA SIFONADA DE LOUCA BRANCA (VDR 6L) C/ ASSENTO</t>
  </si>
  <si>
    <t xml:space="preserve">11.50</t>
  </si>
  <si>
    <t xml:space="preserve">44.02.100</t>
  </si>
  <si>
    <t xml:space="preserve">TAMPO/BANCADA EM MÁRMORE NACIONAL ESPESSURA DE 3 CM</t>
  </si>
  <si>
    <t xml:space="preserve">11.51</t>
  </si>
  <si>
    <t xml:space="preserve">44.03.720</t>
  </si>
  <si>
    <t xml:space="preserve">TORNEIRA DE MESA PARA LAVATÓRIO, ACIONAMENTO HIDROMECÂNICO COM
ALAVANCA, REGISTRO INTEGRADO REGULADOR DE VAZÃO, EM LATÃO CROMADO,
DN= 1/2´</t>
  </si>
  <si>
    <t xml:space="preserve">UN </t>
  </si>
  <si>
    <t xml:space="preserve">11.52</t>
  </si>
  <si>
    <t xml:space="preserve">44.01.100</t>
  </si>
  <si>
    <t xml:space="preserve"> LAVATÓRIO DE LOUÇA SEM COLUNA</t>
  </si>
  <si>
    <t xml:space="preserve">DIVISORIAS/ PORTAS </t>
  </si>
  <si>
    <t xml:space="preserve">11.53</t>
  </si>
  <si>
    <t xml:space="preserve">04.03.009</t>
  </si>
  <si>
    <t xml:space="preserve">DV-07 DIVISÓRIA DE GRANILITE</t>
  </si>
  <si>
    <t xml:space="preserve">11.54</t>
  </si>
  <si>
    <t xml:space="preserve">11.55</t>
  </si>
  <si>
    <t xml:space="preserve">11.56</t>
  </si>
  <si>
    <t xml:space="preserve">11.57</t>
  </si>
  <si>
    <t xml:space="preserve">11.58</t>
  </si>
  <si>
    <t xml:space="preserve">11.59</t>
  </si>
  <si>
    <t xml:space="preserve">11.60</t>
  </si>
  <si>
    <t xml:space="preserve">11.61</t>
  </si>
  <si>
    <t xml:space="preserve">
TUBO DE PVC RÍGIDO SOLDÁVEL MARROM, DN= 40 MM, (1 1/4´), INCLUSIVE
CONEXÕES</t>
  </si>
  <si>
    <t xml:space="preserve">11.62</t>
  </si>
  <si>
    <t xml:space="preserve">TOTAL DO ITEM 11:</t>
  </si>
  <si>
    <t xml:space="preserve">12.</t>
  </si>
  <si>
    <t xml:space="preserve">CONSTRUÇÃO DO PISO EM FRENTE AOS BANHEIROS </t>
  </si>
  <si>
    <t xml:space="preserve">12.1</t>
  </si>
  <si>
    <t xml:space="preserve">01.01.001</t>
  </si>
  <si>
    <t xml:space="preserve">RETIRANDO A VEGETACAO, TRONCOS ATE 5CM DE DIAMETRO E RASPAGEM</t>
  </si>
  <si>
    <t xml:space="preserve">12.2</t>
  </si>
  <si>
    <t xml:space="preserve">12.3</t>
  </si>
  <si>
    <t xml:space="preserve">12.4</t>
  </si>
  <si>
    <t xml:space="preserve">12.5</t>
  </si>
  <si>
    <t xml:space="preserve">12.6</t>
  </si>
  <si>
    <t xml:space="preserve">12.7</t>
  </si>
  <si>
    <t xml:space="preserve">12.8</t>
  </si>
  <si>
    <t xml:space="preserve">12.9</t>
  </si>
  <si>
    <t xml:space="preserve">12.10</t>
  </si>
  <si>
    <t xml:space="preserve">12.11</t>
  </si>
  <si>
    <t xml:space="preserve">TOTAL DO ITEM 12:</t>
  </si>
  <si>
    <t xml:space="preserve">13.</t>
  </si>
  <si>
    <t xml:space="preserve">13.1</t>
  </si>
  <si>
    <t xml:space="preserve"> 35.05.200</t>
  </si>
  <si>
    <t xml:space="preserve">CENTRO DE ATIVIDADES EM MADEIRA RÚSTICA</t>
  </si>
  <si>
    <t xml:space="preserve">13.2</t>
  </si>
  <si>
    <t xml:space="preserve"> 35.05.210</t>
  </si>
  <si>
    <t xml:space="preserve">BALANÇO DUPLO EM MADEIRA RÚSTICA</t>
  </si>
  <si>
    <t xml:space="preserve">13.3</t>
  </si>
  <si>
    <t xml:space="preserve">35.05.220</t>
  </si>
  <si>
    <t xml:space="preserve">GANGORRA DUPLA EM MADEIRA RÚSTICA</t>
  </si>
  <si>
    <t xml:space="preserve">13.4</t>
  </si>
  <si>
    <t xml:space="preserve"> 35.05.240</t>
  </si>
  <si>
    <t xml:space="preserve">GIRA‐GIRA EM FERRO COM ASSENTO DE MADEIRA (8 LUGARES)</t>
  </si>
  <si>
    <t xml:space="preserve">TOTAL DO ITEM 13:</t>
  </si>
  <si>
    <t xml:space="preserve">14.</t>
  </si>
  <si>
    <t xml:space="preserve">ELEMENTO DE MADEIRA </t>
  </si>
  <si>
    <t xml:space="preserve">PEÇA 1 </t>
  </si>
  <si>
    <t xml:space="preserve">14.1</t>
  </si>
  <si>
    <t xml:space="preserve">14.2</t>
  </si>
  <si>
    <t xml:space="preserve">14.3</t>
  </si>
  <si>
    <t xml:space="preserve">14.4</t>
  </si>
  <si>
    <t xml:space="preserve">14.5</t>
  </si>
  <si>
    <t xml:space="preserve">14.6</t>
  </si>
  <si>
    <t xml:space="preserve">14.7</t>
  </si>
  <si>
    <t xml:space="preserve">14.8</t>
  </si>
  <si>
    <t xml:space="preserve">14.9</t>
  </si>
  <si>
    <t xml:space="preserve">14.10</t>
  </si>
  <si>
    <t xml:space="preserve">14.11</t>
  </si>
  <si>
    <t xml:space="preserve">14.12</t>
  </si>
  <si>
    <t xml:space="preserve">14.13</t>
  </si>
  <si>
    <t xml:space="preserve">14.14</t>
  </si>
  <si>
    <t xml:space="preserve">20.04.020</t>
  </si>
  <si>
    <t xml:space="preserve">PISO EM TACOS DE IPÊ COLADO</t>
  </si>
  <si>
    <t xml:space="preserve">14.15</t>
  </si>
  <si>
    <t xml:space="preserve">14.16</t>
  </si>
  <si>
    <t xml:space="preserve">14.17</t>
  </si>
  <si>
    <t xml:space="preserve">14.18</t>
  </si>
  <si>
    <t xml:space="preserve">14.19</t>
  </si>
  <si>
    <t xml:space="preserve"> 07.01.098</t>
  </si>
  <si>
    <t xml:space="preserve">PECAS DE MADEIRA MACICA</t>
  </si>
  <si>
    <t xml:space="preserve">PEÇA 2</t>
  </si>
  <si>
    <t xml:space="preserve">14.20</t>
  </si>
  <si>
    <t xml:space="preserve">14.21</t>
  </si>
  <si>
    <t xml:space="preserve">14.22</t>
  </si>
  <si>
    <t xml:space="preserve">14.23</t>
  </si>
  <si>
    <t xml:space="preserve">14.24</t>
  </si>
  <si>
    <t xml:space="preserve">14.25</t>
  </si>
  <si>
    <t xml:space="preserve">14.26</t>
  </si>
  <si>
    <t xml:space="preserve">14.27</t>
  </si>
  <si>
    <t xml:space="preserve">14.28</t>
  </si>
  <si>
    <t xml:space="preserve">14.29</t>
  </si>
  <si>
    <t xml:space="preserve">14.30</t>
  </si>
  <si>
    <t xml:space="preserve">14.31</t>
  </si>
  <si>
    <t xml:space="preserve">14.32</t>
  </si>
  <si>
    <t xml:space="preserve">14.33</t>
  </si>
  <si>
    <t xml:space="preserve">14.34</t>
  </si>
  <si>
    <t xml:space="preserve">14.35</t>
  </si>
  <si>
    <t xml:space="preserve">14.36</t>
  </si>
  <si>
    <t xml:space="preserve">14.37</t>
  </si>
  <si>
    <t xml:space="preserve">14.38</t>
  </si>
  <si>
    <t xml:space="preserve">TOTAL DO ITEM 14:</t>
  </si>
  <si>
    <t xml:space="preserve">15.</t>
  </si>
  <si>
    <t xml:space="preserve">ÁREA DE DESCANSO</t>
  </si>
  <si>
    <t xml:space="preserve">15.1</t>
  </si>
  <si>
    <t xml:space="preserve">15.05.540</t>
  </si>
  <si>
    <t xml:space="preserve"> MOBILIÁRIO EM CONCRETO ARMADO PRÉ‐MOLDADO ‐ FCK= 25 MPA</t>
  </si>
  <si>
    <t xml:space="preserve">15.2</t>
  </si>
  <si>
    <t xml:space="preserve">16.48.001</t>
  </si>
  <si>
    <t xml:space="preserve">LIXAMENTO MANUAL</t>
  </si>
  <si>
    <t xml:space="preserve">15.3</t>
  </si>
  <si>
    <t xml:space="preserve">15.4</t>
  </si>
  <si>
    <t xml:space="preserve">15.5</t>
  </si>
  <si>
    <t xml:space="preserve">15.6</t>
  </si>
  <si>
    <t xml:space="preserve">16.03.002 </t>
  </si>
  <si>
    <t xml:space="preserve">GRAMA ESMERALDA EM PLACAS</t>
  </si>
  <si>
    <t xml:space="preserve">15.7</t>
  </si>
  <si>
    <t xml:space="preserve">ESTACA BROCA DE CONCRETO, DIÂMETRO DE 25CM, ESCAVAÇÃO MANUAL COM TRADOCONCHA, COM ARMADURA DE ARRANQUE. AF_05/2020</t>
  </si>
  <si>
    <t xml:space="preserve">15.8</t>
  </si>
  <si>
    <t xml:space="preserve">15.9</t>
  </si>
  <si>
    <t xml:space="preserve">15.10</t>
  </si>
  <si>
    <t xml:space="preserve">15.11</t>
  </si>
  <si>
    <t xml:space="preserve">15.12</t>
  </si>
  <si>
    <t xml:space="preserve">15.13</t>
  </si>
  <si>
    <t xml:space="preserve">TOTAL DO ITEM 15:</t>
  </si>
  <si>
    <t xml:space="preserve">16.</t>
  </si>
  <si>
    <t xml:space="preserve">MURO DA RUA 14</t>
  </si>
  <si>
    <t xml:space="preserve">DEMOLIÇÃO </t>
  </si>
  <si>
    <t xml:space="preserve">16.1</t>
  </si>
  <si>
    <t xml:space="preserve">04.50.001</t>
  </si>
  <si>
    <t xml:space="preserve">DEMOLIÇÃO DE ALVENARIAS EM GERAL E ELEMENTOS VAZADOS,INCL
REVESTIMENTOS</t>
  </si>
  <si>
    <t xml:space="preserve">16.2</t>
  </si>
  <si>
    <t xml:space="preserve">16.3</t>
  </si>
  <si>
    <t xml:space="preserve">16.4</t>
  </si>
  <si>
    <t xml:space="preserve">16.5</t>
  </si>
  <si>
    <t xml:space="preserve">16.05.032</t>
  </si>
  <si>
    <t xml:space="preserve">CA-22 CANALETA DE AGUAS PLUVIAIS EM CONCRETO (30CM)</t>
  </si>
  <si>
    <t xml:space="preserve">16.6</t>
  </si>
  <si>
    <t xml:space="preserve">16.05.075</t>
  </si>
  <si>
    <t xml:space="preserve">CA-10 CAIXA DE AREIA 50X50 CM PARA AGUAS PLUVIAIS</t>
  </si>
  <si>
    <t xml:space="preserve">16.7</t>
  </si>
  <si>
    <t xml:space="preserve">16.05.048</t>
  </si>
  <si>
    <t xml:space="preserve">TC-11 TAMPA DE CONCRETO PRE-MOLDADA PERF. P/ CANALETA L=35CM</t>
  </si>
  <si>
    <t xml:space="preserve">M </t>
  </si>
  <si>
    <t xml:space="preserve">16.8</t>
  </si>
  <si>
    <t xml:space="preserve">16.05.065</t>
  </si>
  <si>
    <t xml:space="preserve">TUBO PVC OCRE JUNTA ELASTICA DN 150 INCLUSIVE CONEXOES - ENTERRADO </t>
  </si>
  <si>
    <t xml:space="preserve">16.9</t>
  </si>
  <si>
    <t xml:space="preserve">16.10</t>
  </si>
  <si>
    <t xml:space="preserve">16.11</t>
  </si>
  <si>
    <t xml:space="preserve">16.12</t>
  </si>
  <si>
    <t xml:space="preserve">16.13</t>
  </si>
  <si>
    <t xml:space="preserve">16.14</t>
  </si>
  <si>
    <t xml:space="preserve">16.15</t>
  </si>
  <si>
    <t xml:space="preserve">16.16</t>
  </si>
  <si>
    <t xml:space="preserve">16.17</t>
  </si>
  <si>
    <t xml:space="preserve">16.18</t>
  </si>
  <si>
    <t xml:space="preserve">16.19</t>
  </si>
  <si>
    <t xml:space="preserve">16.20</t>
  </si>
  <si>
    <t xml:space="preserve">16.21</t>
  </si>
  <si>
    <t xml:space="preserve">16.22</t>
  </si>
  <si>
    <t xml:space="preserve">16.23</t>
  </si>
  <si>
    <t xml:space="preserve">16.24</t>
  </si>
  <si>
    <t xml:space="preserve">16.25</t>
  </si>
  <si>
    <t xml:space="preserve">16.26</t>
  </si>
  <si>
    <t xml:space="preserve">16.27</t>
  </si>
  <si>
    <t xml:space="preserve">16.28</t>
  </si>
  <si>
    <t xml:space="preserve">16.29</t>
  </si>
  <si>
    <t xml:space="preserve">16.30</t>
  </si>
  <si>
    <t xml:space="preserve">16.31</t>
  </si>
  <si>
    <t xml:space="preserve">16.32</t>
  </si>
  <si>
    <t xml:space="preserve">16.33</t>
  </si>
  <si>
    <t xml:space="preserve">16.35</t>
  </si>
  <si>
    <t xml:space="preserve">PINTURA DOS MOURÕES E MURETAS</t>
  </si>
  <si>
    <t xml:space="preserve">16.36</t>
  </si>
  <si>
    <t xml:space="preserve">16.38</t>
  </si>
  <si>
    <t xml:space="preserve">TOTAL DO ITEM 16:</t>
  </si>
  <si>
    <t xml:space="preserve">17.</t>
  </si>
  <si>
    <t xml:space="preserve">ENTRADA RUA 10</t>
  </si>
  <si>
    <t xml:space="preserve">17.1</t>
  </si>
  <si>
    <t xml:space="preserve">06.80.023</t>
  </si>
  <si>
    <t xml:space="preserve">PORTAO DE 1 FOLHA DE TUBOS E TELA GALVANIZADOS COM PORTA CADEADO</t>
  </si>
  <si>
    <t xml:space="preserve">TOTAL DO ITEM 17:</t>
  </si>
  <si>
    <t xml:space="preserve">ARQUIBANCADA </t>
  </si>
  <si>
    <t xml:space="preserve">18.1</t>
  </si>
  <si>
    <t xml:space="preserve">18.2</t>
  </si>
  <si>
    <t xml:space="preserve">18.3</t>
  </si>
  <si>
    <t xml:space="preserve">TOTAL DO ITEM 18:</t>
  </si>
  <si>
    <t xml:space="preserve">19.</t>
  </si>
  <si>
    <t xml:space="preserve">PINTURA DO PISO - PROXIMO AS ARQUIBANCADAS</t>
  </si>
  <si>
    <t xml:space="preserve">19.1</t>
  </si>
  <si>
    <t xml:space="preserve">TOTAL DO ITEM 19:</t>
  </si>
  <si>
    <t xml:space="preserve">20.</t>
  </si>
  <si>
    <t xml:space="preserve">REFORMA GERAL DA BRINQUEDOTECA </t>
  </si>
  <si>
    <t xml:space="preserve">ITENS COMPLEMENTARES </t>
  </si>
  <si>
    <t xml:space="preserve">20.1</t>
  </si>
  <si>
    <t xml:space="preserve">08.15.013</t>
  </si>
  <si>
    <t xml:space="preserve"> LT-04 LAVATORIO /BEBEDOURO COLETIVO COM TORNEIRA ANTIVANDALISMO</t>
  </si>
  <si>
    <t xml:space="preserve">20.2</t>
  </si>
  <si>
    <t xml:space="preserve">DEMOLIÇÃO DE REVESTIMENTO CERÂMICO, DE FORMA MANUAL, SEM REAPROVEITAME NTO. AF_09/2023 </t>
  </si>
  <si>
    <t xml:space="preserve">20.3</t>
  </si>
  <si>
    <t xml:space="preserve">03.01.020</t>
  </si>
  <si>
    <t xml:space="preserve">DEMOLIÇÃO MANUAL DE CONCRETO SIMPLES</t>
  </si>
  <si>
    <t xml:space="preserve">20.4</t>
  </si>
  <si>
    <t xml:space="preserve">M3</t>
  </si>
  <si>
    <t xml:space="preserve">20.5</t>
  </si>
  <si>
    <t xml:space="preserve">01.02.004</t>
  </si>
  <si>
    <t xml:space="preserve">TRANSPORTE POR CAMINHAO</t>
  </si>
  <si>
    <t xml:space="preserve">20.6</t>
  </si>
  <si>
    <t xml:space="preserve">20.7</t>
  </si>
  <si>
    <t xml:space="preserve">20.8</t>
  </si>
  <si>
    <t xml:space="preserve">20.9</t>
  </si>
  <si>
    <t xml:space="preserve">20.10</t>
  </si>
  <si>
    <t xml:space="preserve">CONTRAPISO ACÚSTICO EM ARGAMASSA TRAÇO 1:4 (CIMENTO E AREIA), PREPARO MECÂNICO COM BETONEIRA 400L, APLICADO EM ÁREAS SECAS, ACABAMENTO NÃO REFORÇADO, ESPESSURA 5CM. AF_07/2021</t>
  </si>
  <si>
    <t xml:space="preserve">20.11</t>
  </si>
  <si>
    <t xml:space="preserve">13.02.038</t>
  </si>
  <si>
    <t xml:space="preserve">GRANILITE PRETO/CIMENTO COMUM E=8MM COM POLIMENTO</t>
  </si>
  <si>
    <t xml:space="preserve">20.12</t>
  </si>
  <si>
    <t xml:space="preserve">13.02.023</t>
  </si>
  <si>
    <t xml:space="preserve">BORRACHA COLADA - PISO TATIL DIRECIONAL</t>
  </si>
  <si>
    <t xml:space="preserve">20.13</t>
  </si>
  <si>
    <t xml:space="preserve">PINTURA DE PISO COM TINTA ACRÍLICA, APLICAÇÃO MANUAL, 2 DEMÃOS, INCLUSO FUNDO PREPARADOR. AF_05/2021</t>
  </si>
  <si>
    <t xml:space="preserve">RAMPA DE ACESSO BRINQUEDOTECA</t>
  </si>
  <si>
    <t xml:space="preserve">20.14</t>
  </si>
  <si>
    <t xml:space="preserve">20.15</t>
  </si>
  <si>
    <t xml:space="preserve">20.16</t>
  </si>
  <si>
    <t xml:space="preserve">MURO DA BRINQUEDOTECA - FUNDAÇÃO </t>
  </si>
  <si>
    <t xml:space="preserve">20.17</t>
  </si>
  <si>
    <t xml:space="preserve">20.18</t>
  </si>
  <si>
    <t xml:space="preserve">20.19</t>
  </si>
  <si>
    <t xml:space="preserve">20.20</t>
  </si>
  <si>
    <t xml:space="preserve">20.21</t>
  </si>
  <si>
    <t xml:space="preserve">20.22</t>
  </si>
  <si>
    <t xml:space="preserve">20.23</t>
  </si>
  <si>
    <t xml:space="preserve">20.24</t>
  </si>
  <si>
    <t xml:space="preserve">20.25</t>
  </si>
  <si>
    <t xml:space="preserve"> INFRAESTRUTURA</t>
  </si>
  <si>
    <t xml:space="preserve">20.26</t>
  </si>
  <si>
    <t xml:space="preserve">20.27</t>
  </si>
  <si>
    <t xml:space="preserve">20.28</t>
  </si>
  <si>
    <t xml:space="preserve">20.29</t>
  </si>
  <si>
    <t xml:space="preserve">20.30</t>
  </si>
  <si>
    <t xml:space="preserve">20.31</t>
  </si>
  <si>
    <t xml:space="preserve">20.32</t>
  </si>
  <si>
    <t xml:space="preserve">20.33</t>
  </si>
  <si>
    <t xml:space="preserve">20.34</t>
  </si>
  <si>
    <t xml:space="preserve">20.35</t>
  </si>
  <si>
    <t xml:space="preserve">20.36</t>
  </si>
  <si>
    <t xml:space="preserve">20.37</t>
  </si>
  <si>
    <t xml:space="preserve"> 03.03.020</t>
  </si>
  <si>
    <t xml:space="preserve">APICOAMENTO MANUAL DE PISO, PAREDE OU TETO</t>
  </si>
  <si>
    <t xml:space="preserve">20.38</t>
  </si>
  <si>
    <t xml:space="preserve">20.39</t>
  </si>
  <si>
    <t xml:space="preserve">20.40</t>
  </si>
  <si>
    <t xml:space="preserve">20.41</t>
  </si>
  <si>
    <t xml:space="preserve">20.42</t>
  </si>
  <si>
    <t xml:space="preserve">20.43</t>
  </si>
  <si>
    <t xml:space="preserve"> 04.03.020</t>
  </si>
  <si>
    <t xml:space="preserve"> RETIRADA DE TELHAMENTO EM BARRO</t>
  </si>
  <si>
    <t xml:space="preserve">20.44</t>
  </si>
  <si>
    <t xml:space="preserve"> 04.02.050</t>
  </si>
  <si>
    <t xml:space="preserve"> RETIRADA DE ESTRUTURA EM MADEIRA TESOURA - TELHAS DE BARRO</t>
  </si>
  <si>
    <t xml:space="preserve">20.45</t>
  </si>
  <si>
    <t xml:space="preserve">20.46</t>
  </si>
  <si>
    <t xml:space="preserve">20.47</t>
  </si>
  <si>
    <t xml:space="preserve">FABRICAÇÃO E INSTALAÇÃO DE MEIA TESOURA DE MADEIRA NÃO APARELHADA, COM VÃO DE 6 M, PARA TELHA CERÂMICA OU DE CONCRETO, INCLUSO IÇAMENTO. AF_07/2019</t>
  </si>
  <si>
    <t xml:space="preserve">20.48</t>
  </si>
  <si>
    <t xml:space="preserve">TRAMA DE MADEIRA COMPOSTA POR RIPAS, CAIBROS E TERÇAS PARA TELHADOS DEATÉ 2 ÁGUAS PARA TELHA DE ENCAIXE DE CERÂMICA OU DE CONCRETO, INCLUSO
 TRANSPORTE VERTICAL. AF_07/2019</t>
  </si>
  <si>
    <t xml:space="preserve">20.49</t>
  </si>
  <si>
    <t xml:space="preserve">TELHAMENTO COM TELHA CERÂMICA DE ENCAIXE, TIPO ROMANA, COM ATÉ 2 ÁGUAS , INCLUSO TRANSPORTE VERTICAL. AF_07/2019</t>
  </si>
  <si>
    <t xml:space="preserve">20.50</t>
  </si>
  <si>
    <t xml:space="preserve">20.51</t>
  </si>
  <si>
    <t xml:space="preserve">20.52</t>
  </si>
  <si>
    <t xml:space="preserve">20.53</t>
  </si>
  <si>
    <t xml:space="preserve">16.05.085</t>
  </si>
  <si>
    <t xml:space="preserve">CORRENTE ELO CURTO GALVANIZADO 4MM CARGA TRABALHO 100KG RESERVATORIO RETENÇÃO AGUA PLUVIAL </t>
  </si>
  <si>
    <t xml:space="preserve">PAREDES INTERNAS E EXTERNAS</t>
  </si>
  <si>
    <t xml:space="preserve">20.54</t>
  </si>
  <si>
    <t xml:space="preserve">20.55</t>
  </si>
  <si>
    <t xml:space="preserve">20.56</t>
  </si>
  <si>
    <t xml:space="preserve">20.57</t>
  </si>
  <si>
    <t xml:space="preserve">20.58</t>
  </si>
  <si>
    <t xml:space="preserve">20.59</t>
  </si>
  <si>
    <t xml:space="preserve">TELAS/ESQUADRIAS</t>
  </si>
  <si>
    <t xml:space="preserve">20.60</t>
  </si>
  <si>
    <t xml:space="preserve">06.60.002 </t>
  </si>
  <si>
    <t xml:space="preserve"> RETIRADA DE TELA</t>
  </si>
  <si>
    <t xml:space="preserve">20.61</t>
  </si>
  <si>
    <t xml:space="preserve">34.20.080</t>
  </si>
  <si>
    <t xml:space="preserve">TELA DE AÇO GALVANIZADO FIO Nº 10 BWG, MALHA DE 2´, TIPO ALAMBRADO DE 
SEGURANÇA</t>
  </si>
  <si>
    <t xml:space="preserve">20.62</t>
  </si>
  <si>
    <t xml:space="preserve"> 24.02.060</t>
  </si>
  <si>
    <t xml:space="preserve"> PORTA/PORTÃO DE ABRIR EM CHAPA, SOB MEDIDA</t>
  </si>
  <si>
    <t xml:space="preserve">20.63</t>
  </si>
  <si>
    <t xml:space="preserve"> PORTA DE MADEIRA PARA PINTURA, SEMI-OCA (LEVE OU MÉDIA), 80X210CM, ESP ESSURA DE 3,5CM, INCLUSO DOBRADIÇAS - FORNECIMENTO E INSTALAÇÃO. AF_12/2019</t>
  </si>
  <si>
    <t xml:space="preserve">UM</t>
  </si>
  <si>
    <t xml:space="preserve">20.64</t>
  </si>
  <si>
    <t xml:space="preserve"> 24.02.900</t>
  </si>
  <si>
    <t xml:space="preserve"> PORTA DE ABRIR EM CHAPA DUPLA COM VISOR, BATENTE ENVOLVENTE, COMPLETA</t>
  </si>
  <si>
    <t xml:space="preserve">GUIAS CONTORNO LAGOA </t>
  </si>
  <si>
    <t xml:space="preserve">20.65</t>
  </si>
  <si>
    <t xml:space="preserve">LIMPEZA MANUAL DE VEGETAÇÃO EM TERRENO COM ENXADA. AF_03/2024</t>
  </si>
  <si>
    <t xml:space="preserve">20.66</t>
  </si>
  <si>
    <t xml:space="preserve">GUIA (MEIO-FIO) E SARJETA CONJUGADOS DE CONCRETO, MOLDADA  IN LOCO  EM TRECHO CURVO COM EXTRUSORA, 65 CM BASE (15 CM BASE DA GUIA + 50 CM BASE DA SARJETA) X 26 CM ALTURA. AF_01/2024</t>
  </si>
  <si>
    <t xml:space="preserve">20.67</t>
  </si>
  <si>
    <t xml:space="preserve">16.04.037 </t>
  </si>
  <si>
    <t xml:space="preserve">FQ-04 ALAMBRADO COM PERFIL E TELA SOLDADA-GALVANIZADOS</t>
  </si>
  <si>
    <t xml:space="preserve">M2</t>
  </si>
  <si>
    <t xml:space="preserve">TOTAL DO ITEM 20:</t>
  </si>
  <si>
    <t xml:space="preserve">ELÉTRICA GERAL </t>
  </si>
  <si>
    <t xml:space="preserve">ILUMINAÇÃO DAS QUADRAS DE AREIA</t>
  </si>
  <si>
    <t xml:space="preserve">21.1</t>
  </si>
  <si>
    <t xml:space="preserve">COTAÇÃO</t>
  </si>
  <si>
    <t xml:space="preserve">REFLETOR DE LED 200W</t>
  </si>
  <si>
    <t xml:space="preserve">UNI</t>
  </si>
  <si>
    <t xml:space="preserve">21.2</t>
  </si>
  <si>
    <t xml:space="preserve">09.74.018</t>
  </si>
  <si>
    <t xml:space="preserve">RECOLOCAÇÃO DE APARELHOS DE ILUMINAÇÃO EM POSTE</t>
  </si>
  <si>
    <t xml:space="preserve">21.3</t>
  </si>
  <si>
    <t xml:space="preserve">ESCAVAÇÃO MANUAL DE VALA COM PROFUNDIDADE MENOR OU IGUAL A 1,30 M. AF_02/2021</t>
  </si>
  <si>
    <t xml:space="preserve">21.4</t>
  </si>
  <si>
    <t xml:space="preserve">REATERRO MANUAL DE VALAS, COM COMPACTADOR DE SOLOS DE PERCUSSÃO. AF_08/2023 </t>
  </si>
  <si>
    <t xml:space="preserve">21.5</t>
  </si>
  <si>
    <t xml:space="preserve">CABO DE COBRE FLEXÍVEL ISOLADO, 4 MM², ANTI-CHAMA 0,6/1,0 KV, PARA CIRCUITOS TERMINAIS - FORNECIMENTO E INSTALAÇÃO. AF_12/2015</t>
  </si>
  <si>
    <t xml:space="preserve">21.6</t>
  </si>
  <si>
    <t xml:space="preserve">CONTATOR TRIPOLAR I NOMINAL 38A - FORNECIMENTO E INSTALAÇÃO. AF_10/2020</t>
  </si>
  <si>
    <t xml:space="preserve">21.7</t>
  </si>
  <si>
    <t xml:space="preserve">DISJUNTOR TRIPOLAR TIPO DIN, CORRENTE NOMINAL DE 40A - FORNECIMENTO E INSTALAÇÃO. AF_10/2020</t>
  </si>
  <si>
    <t xml:space="preserve">POSTES DE ILUMINAÇÃO – AVENIDA B</t>
  </si>
  <si>
    <t xml:space="preserve">21.8</t>
  </si>
  <si>
    <t xml:space="preserve">LUMINÁRIA DE LED PARA ILUMINAÇÃO PÚBLICA, DE 98 W ATÉ 137 W</t>
  </si>
  <si>
    <t xml:space="preserve">21.9</t>
  </si>
  <si>
    <t xml:space="preserve">21.10</t>
  </si>
  <si>
    <t xml:space="preserve">21.11</t>
  </si>
  <si>
    <t xml:space="preserve">38.13.020 </t>
  </si>
  <si>
    <t xml:space="preserve">ELETRODUTO CORRUGADO EM POLIETILENO DE ALTA DENSIDADE, DN= 50 MM, COM ACESSÓRIOS </t>
  </si>
  <si>
    <t xml:space="preserve">21.12</t>
  </si>
  <si>
    <t xml:space="preserve">21.13</t>
  </si>
  <si>
    <t xml:space="preserve">ELETRODUTO RÍGIDO ROSCÁVEL, PVC, DN 50 MM (1 1/2") - FORNECIMENTO E INSTALAÇÃO. AF_12/2015</t>
  </si>
  <si>
    <t xml:space="preserve">21.14</t>
  </si>
  <si>
    <t xml:space="preserve">RELÉ FOTOELÉTRICO PARA COMANDO DE ILUMINAÇÃO EXTERNA 1000 W - FORNECIMENTO E INSTALAÇÃO. AF_08/2020</t>
  </si>
  <si>
    <t xml:space="preserve">21.15</t>
  </si>
  <si>
    <t xml:space="preserve">21.16</t>
  </si>
  <si>
    <t xml:space="preserve">POSTES ORNAMENTAIS DE JARDIM</t>
  </si>
  <si>
    <t xml:space="preserve">21.17</t>
  </si>
  <si>
    <t xml:space="preserve">POSTE DECORATIVO PARA JARDIM EM AÇO TUBULAR, H = *2,5* M, SEM LUMINÁRIA - FORNECIMENTO E INSTALAÇÃO. AF_11/2019</t>
  </si>
  <si>
    <t xml:space="preserve">21.18</t>
  </si>
  <si>
    <t xml:space="preserve">21.19</t>
  </si>
  <si>
    <t xml:space="preserve">21.20</t>
  </si>
  <si>
    <t xml:space="preserve">EXECUÇÃO DE PASSEIO (CALÇADA) OU PISO DE CONCRETO COM CONCRETO MOLDADO IN LOCO, FEITO EM OBRA, ACABAMENTO CONVENCIONAL, NÃO ARMADO. AF_07/2016</t>
  </si>
  <si>
    <t xml:space="preserve">21.21</t>
  </si>
  <si>
    <t xml:space="preserve">21.22</t>
  </si>
  <si>
    <t xml:space="preserve">21.23</t>
  </si>
  <si>
    <t xml:space="preserve">09.06.026</t>
  </si>
  <si>
    <t xml:space="preserve">CAIXA DE PASSAGEM EM ALVENARIA DE 0,60X0,60X0,60 M</t>
  </si>
  <si>
    <t xml:space="preserve">21.24</t>
  </si>
  <si>
    <t xml:space="preserve">LÂMPADA LED BULBO 50W</t>
  </si>
  <si>
    <t xml:space="preserve">21.25</t>
  </si>
  <si>
    <t xml:space="preserve">21.26</t>
  </si>
  <si>
    <t xml:space="preserve">21.27</t>
  </si>
  <si>
    <t xml:space="preserve">REVISÃO DOS POSTES METÁLICOS EXISTENTES DE 9 M</t>
  </si>
  <si>
    <t xml:space="preserve">21.28</t>
  </si>
  <si>
    <t xml:space="preserve">09.64.014</t>
  </si>
  <si>
    <t xml:space="preserve">RETIRADA DE AP.ILUM.EM POSTE,ARANDELA EXT BRACO ACO OU PROJET EM FACHADA</t>
  </si>
  <si>
    <t xml:space="preserve">21.29</t>
  </si>
  <si>
    <t xml:space="preserve">21.30</t>
  </si>
  <si>
    <t xml:space="preserve">21.31</t>
  </si>
  <si>
    <t xml:space="preserve">09.85.019 </t>
  </si>
  <si>
    <t xml:space="preserve">L AMPADA VAPOR METALICO 250W </t>
  </si>
  <si>
    <t xml:space="preserve">21.32</t>
  </si>
  <si>
    <t xml:space="preserve">09.84.079 </t>
  </si>
  <si>
    <t xml:space="preserve">REATOR SIMPLES P/VAPOR METAL. AFP 250W 220V CAP/IGN </t>
  </si>
  <si>
    <t xml:space="preserve">21.33</t>
  </si>
  <si>
    <t xml:space="preserve">REVISÃO DOS POSTES METÁLICOS EXISTENTES DE 7 M</t>
  </si>
  <si>
    <t xml:space="preserve">21.34</t>
  </si>
  <si>
    <t xml:space="preserve">21.35</t>
  </si>
  <si>
    <t xml:space="preserve">21.36</t>
  </si>
  <si>
    <t xml:space="preserve">21.37</t>
  </si>
  <si>
    <t xml:space="preserve">ILUMINAÇÃO E ELÉTRICA DAS GUARITAS </t>
  </si>
  <si>
    <t xml:space="preserve">21.38</t>
  </si>
  <si>
    <t xml:space="preserve">21.39</t>
  </si>
  <si>
    <t xml:space="preserve">21.40</t>
  </si>
  <si>
    <t xml:space="preserve">21.41</t>
  </si>
  <si>
    <t xml:space="preserve">09.05.042</t>
  </si>
  <si>
    <t xml:space="preserve">QUADRO DISTRIBUICAO, DISJ. GERAL 30A P/ 4 A 8 DISJS.</t>
  </si>
  <si>
    <t xml:space="preserve">21.42</t>
  </si>
  <si>
    <t xml:space="preserve">09.09.048 </t>
  </si>
  <si>
    <t xml:space="preserve">IL-95 LUMINÁRIA LED QUADRADA DE EMBUTIR COM DIFUSOR TRANSLÚCIDO &lt;= 40W </t>
  </si>
  <si>
    <t xml:space="preserve">21.43</t>
  </si>
  <si>
    <t xml:space="preserve">09.08.013 </t>
  </si>
  <si>
    <t xml:space="preserve">TOMADA 2P+T PADRAO NBR 14136, CORRENTE 10A-250V-ELETR. AÇO GALV. A QUENTE </t>
  </si>
  <si>
    <t xml:space="preserve">21.44</t>
  </si>
  <si>
    <t xml:space="preserve">21.45</t>
  </si>
  <si>
    <t xml:space="preserve">09.06.025</t>
  </si>
  <si>
    <t xml:space="preserve">CAIXA DE PASSAGEM EM ALVENARIA DE 0,40X0,40X0,40 M</t>
  </si>
  <si>
    <t xml:space="preserve">21.46</t>
  </si>
  <si>
    <t xml:space="preserve">DISJUNTOR BIPOLAR TIPO DIN, CORRENTE NOMINAL DE 32A - FORNECIMENTO E INSTALAÇÃO. AF_10/2020</t>
  </si>
  <si>
    <t xml:space="preserve">ILUMINAÇÃO E ELÉTRICA DA BRINQUEDOTECA E BANHEIROS</t>
  </si>
  <si>
    <t xml:space="preserve">21.47</t>
  </si>
  <si>
    <t xml:space="preserve">09.08.029 </t>
  </si>
  <si>
    <t xml:space="preserve">INTERRUPTOR DE 1 TECLA - ELETROD PVC Ø 25MM FLEXIVEL NBR 15465 </t>
  </si>
  <si>
    <t xml:space="preserve">21.48</t>
  </si>
  <si>
    <t xml:space="preserve">21.49</t>
  </si>
  <si>
    <t xml:space="preserve">21.50</t>
  </si>
  <si>
    <t xml:space="preserve">DISJUNTOR MONOPOLAR TIPO DIN, CORRENTE NOMINAL DE 20A - FORNECIMENTO E INSTALAÇÃO. AF_10/2020</t>
  </si>
  <si>
    <t xml:space="preserve">21.51</t>
  </si>
  <si>
    <t xml:space="preserve">21.52</t>
  </si>
  <si>
    <t xml:space="preserve">CABO DE COBRE FLEXÍVEL ISOLADO, 2,5 MM², ANTI-CHAMA 0,6/1,0 KV, PARA CIRCUITOS TERMINAIS - FORNECIMENTO E INSTALAÇÃO. AF_12/2015</t>
  </si>
  <si>
    <t xml:space="preserve">TOTAL DO ITEM 21:</t>
  </si>
  <si>
    <t xml:space="preserve">QUADRAS DE AREIA</t>
  </si>
  <si>
    <t xml:space="preserve">22.1.</t>
  </si>
  <si>
    <t xml:space="preserve">22.2.</t>
  </si>
  <si>
    <t xml:space="preserve">22.3.</t>
  </si>
  <si>
    <t xml:space="preserve">DRENO ESPINHA DE PEIXE (SEÇÃO (0,40 X 0,40 M), COM TUBO DE PEAD CORRUGADO PERFURADO, DN 100 MM, ENCHIMENTO COM BRITA, ENVOLVIDO COM MANTA GEOTÊXTIL, INCLUSIVE CONEXÕES. AF_07/2021</t>
  </si>
  <si>
    <t xml:space="preserve">22.4.</t>
  </si>
  <si>
    <t xml:space="preserve"> ESCAVAÇÃO MANUAL DE VALA. AF_09/2024 </t>
  </si>
  <si>
    <t xml:space="preserve">22.5.</t>
  </si>
  <si>
    <t xml:space="preserve">ENCHIMENTO DE BRITA PARA DRENO, LANÇAMENTO MANUAL. AF_07/2021</t>
  </si>
  <si>
    <t xml:space="preserve">22.6.</t>
  </si>
  <si>
    <t xml:space="preserve">GEOTÊXTIL NÃO TECIDO 100% POLIÉSTER, RESISTÊNCIA A TRAÇÃO DE 9 KN/M (RT - 9), INSTALADO EM DRENO - FORNECIMENTO E INSTALAÇÃO. AF_07/2021</t>
  </si>
  <si>
    <t xml:space="preserve">22.7.</t>
  </si>
  <si>
    <t xml:space="preserve">ENCHIMENTO DE AREIA PARA DRENO, LANÇAMENTO MANUAL. AF_07/2021</t>
  </si>
  <si>
    <t xml:space="preserve">TOTAL DO ITEM 22:</t>
  </si>
  <si>
    <t xml:space="preserve">TOTAL GERAL</t>
  </si>
  <si>
    <t xml:space="preserve">_____________________________
Maria Eduarda Vasco
Arquiteta e Urbanista
Autora do Projeto
CAU A2845377</t>
  </si>
  <si>
    <t xml:space="preserve">MODELO DE PROPOSTA</t>
  </si>
  <si>
    <t xml:space="preserve">PREÇO UN. COM BDI</t>
  </si>
  <si>
    <t xml:space="preserve">PREÇO TOTAL COM BDI</t>
  </si>
  <si>
    <t xml:space="preserve">INSTALAÇÕES ELÉTRICAS</t>
  </si>
  <si>
    <t xml:space="preserve">ELETRODUTO/DUTO PEAD FLEXIVEL PAREDE SIMPLES, CORRUGACAO HELICOIDAL, CORPRETA, SEM ROSCA, DE 3", PARA CABEAMENTO SUBTERRANEO (NBR 15715)</t>
  </si>
  <si>
    <t xml:space="preserve">6.60</t>
  </si>
  <si>
    <t xml:space="preserve">16.13.015 </t>
  </si>
  <si>
    <t xml:space="preserve">REATERRO INTERNO APILOADO</t>
  </si>
  <si>
    <t xml:space="preserve">6.61</t>
  </si>
  <si>
    <t xml:space="preserve">6.62</t>
  </si>
  <si>
    <t xml:space="preserve">6.63</t>
  </si>
  <si>
    <t xml:space="preserve">6.64</t>
  </si>
  <si>
    <t xml:space="preserve">6.65</t>
  </si>
  <si>
    <t xml:space="preserve">6.66</t>
  </si>
  <si>
    <t xml:space="preserve"> 06.11.040</t>
  </si>
  <si>
    <t xml:space="preserve">40.05.170</t>
  </si>
  <si>
    <t xml:space="preserve"> 09.10.002</t>
  </si>
  <si>
    <t xml:space="preserve"> 09.09.047</t>
  </si>
  <si>
    <t xml:space="preserve">09.08.016</t>
  </si>
  <si>
    <t xml:space="preserve"> 09.04.076</t>
  </si>
  <si>
    <t xml:space="preserve">09.11.016</t>
  </si>
  <si>
    <t xml:space="preserve"> 41.10.410</t>
  </si>
  <si>
    <t xml:space="preserve">BANCO DE PREÇOS</t>
  </si>
  <si>
    <t xml:space="preserve">VALOR GLOBAL:</t>
  </si>
  <si>
    <t xml:space="preserve">MEMORIAL DE CALCULO</t>
  </si>
  <si>
    <t xml:space="preserve">2 METROS DE ALTURA POR 4 METROS DE COMPRIMENTO </t>
  </si>
  <si>
    <t xml:space="preserve">80 METROS LINEAR, DEMARCADO EM PLANTA BAIXA </t>
  </si>
  <si>
    <t xml:space="preserve">PRAZO DE EXECUÇÃO DA OBRA DE 12 MESES, 1 CONTAINER POR MÊS </t>
  </si>
  <si>
    <t xml:space="preserve">DEMOLIÇÕES E RETIRADAS </t>
  </si>
  <si>
    <t xml:space="preserve">CONFERIR EM PLANTA BAIXA </t>
  </si>
  <si>
    <t xml:space="preserve">FOI CONTABILIZADO A METRAGEM QUADRADA APROXIMADA DA COPA COM 30 M²  X 11 METROS (ALTURA DA COPA ) / 4</t>
  </si>
  <si>
    <t xml:space="preserve">FOI CONTABILIZADO A METRAGEM QUADRADA APROXIMADA DA COPA COM 10 M²  X 10 METROS (ALTURA DA COPA ) / 4</t>
  </si>
  <si>
    <t xml:space="preserve">LIMPEZA DOS GRAMADOS</t>
  </si>
  <si>
    <t xml:space="preserve">CALÇADA DEMARCADA EM PLANTA BAIXA </t>
  </si>
  <si>
    <t xml:space="preserve">RECAPEAMENTO ASFÁLTICO</t>
  </si>
  <si>
    <t xml:space="preserve">RECAPEAMENTO INTERNO DO PARQUE </t>
  </si>
  <si>
    <t xml:space="preserve">CONFORME DEMARCAÇÃO EM PLANTA BAIXA</t>
  </si>
  <si>
    <r>
      <rPr>
        <sz val="5"/>
        <color rgb="FF000000"/>
        <rFont val="Liberation Sans1"/>
        <family val="0"/>
        <charset val="1"/>
      </rPr>
      <t xml:space="preserve">985</t>
    </r>
    <r>
      <rPr>
        <sz val="7"/>
        <color rgb="FF000000"/>
        <rFont val="Calibri"/>
        <family val="2"/>
        <charset val="1"/>
      </rPr>
      <t xml:space="preserve">04</t>
    </r>
  </si>
  <si>
    <t xml:space="preserve">MEMÓRIA DE CÁLCULO </t>
  </si>
  <si>
    <t xml:space="preserve"> PRANCHA DE MARCAÇÕES </t>
  </si>
  <si>
    <t xml:space="preserve">PILAR </t>
  </si>
  <si>
    <t xml:space="preserve">UNIDADE</t>
  </si>
  <si>
    <t xml:space="preserve">PROFUNDIDADE</t>
  </si>
  <si>
    <t xml:space="preserve">DIAMETRO </t>
  </si>
  <si>
    <t xml:space="preserve">TOTAL </t>
  </si>
  <si>
    <t xml:space="preserve">0,25 X 0,25</t>
  </si>
  <si>
    <t xml:space="preserve">TOTAL DE UNIDADES DE PILAR/ESTACA, COM PROFUNDIDADE </t>
  </si>
  <si>
    <t xml:space="preserve">CONFORME PRANCHA 3-  PRANCHA DE MARCAÇÕES </t>
  </si>
  <si>
    <t xml:space="preserve">1 ESTRIBO A CADA 0,15 METROS -   METROS / 0,15 = UNIDADES DE TRIBRIBO</t>
  </si>
  <si>
    <t xml:space="preserve">UNIDADES X 1,04 METROS = </t>
  </si>
  <si>
    <t xml:space="preserve"> METROS X 0,154 KG = </t>
  </si>
  <si>
    <t xml:space="preserve">4 UNIDADES DE BARRA COM  = METROS * 4 =</t>
  </si>
  <si>
    <t xml:space="preserve"> * 0,617KG</t>
  </si>
  <si>
    <t xml:space="preserve">LARGURA X PROFUNDIDE</t>
  </si>
  <si>
    <t xml:space="preserve">GUARITA 1 E 2</t>
  </si>
  <si>
    <t xml:space="preserve">TOTAL</t>
  </si>
  <si>
    <t xml:space="preserve">1 ESTRIBO A CADA 0,15 METROS - 232,46 METROS / 0,15 = 1549 UNIDADES DE TRIBRIBO</t>
  </si>
  <si>
    <t xml:space="preserve">1.840 UNIDADES X 0,84 METROS = 1.456,74 METROS </t>
  </si>
  <si>
    <t xml:space="preserve">1.456,74 METROS X 0,154 KG = </t>
  </si>
  <si>
    <t xml:space="preserve">4 UNIDADES DE BARRA COM  232,46 METROS * 4 = 1549 METROS</t>
  </si>
  <si>
    <t xml:space="preserve">929,84 * 0,617</t>
  </si>
  <si>
    <t xml:space="preserve">ALTURA (PÉ DIREITO)</t>
  </si>
  <si>
    <t xml:space="preserve">PLATIBANDA</t>
  </si>
  <si>
    <t xml:space="preserve">ESPESSURA DO PILAR</t>
  </si>
  <si>
    <t xml:space="preserve">GUARITAS</t>
  </si>
  <si>
    <t xml:space="preserve">0,25X0,25</t>
  </si>
  <si>
    <t xml:space="preserve">PILARES DE 25 CM</t>
  </si>
  <si>
    <t xml:space="preserve">1 ESTRIBO A CADA 0,15 METROS = UNIDADE DE ESTRIBOS </t>
  </si>
  <si>
    <t xml:space="preserve">UNIDADE DE ESTIBOS X CIRCUNFERENCIA DO PILAR METROS = COMPRIMENTO TOTAL EM M LINEAR</t>
  </si>
  <si>
    <t xml:space="preserve">METRO LINEAR X PELO EM KG DO ESTRIBO = </t>
  </si>
  <si>
    <t xml:space="preserve">4 BARRAS X METRAGEM LINEAR </t>
  </si>
  <si>
    <t xml:space="preserve">METRAGEM LINEAR X KG DA BARRA</t>
  </si>
  <si>
    <t xml:space="preserve">METRAGEM LINEAR  </t>
  </si>
  <si>
    <t xml:space="preserve">ALTURA(PÉ DIREITO+PLATIBANDA)</t>
  </si>
  <si>
    <t xml:space="preserve">DESCONTO PILAR</t>
  </si>
  <si>
    <t xml:space="preserve">DESCONTO JANELA E PORTAS</t>
  </si>
  <si>
    <t xml:space="preserve">DESCONTO VIGAS</t>
  </si>
  <si>
    <t xml:space="preserve">TOTAL DESCONTO</t>
  </si>
  <si>
    <t xml:space="preserve">TOTAL ITEM </t>
  </si>
  <si>
    <t xml:space="preserve">VERGA  E CONTRA-VERGA</t>
  </si>
  <si>
    <t xml:space="preserve">METRAGEM LINEAR</t>
  </si>
  <si>
    <t xml:space="preserve">VIGAS</t>
  </si>
  <si>
    <t xml:space="preserve">ALTURA</t>
  </si>
  <si>
    <t xml:space="preserve">ESPESSURA</t>
  </si>
  <si>
    <t xml:space="preserve">METRAGEM QUADADRA</t>
  </si>
  <si>
    <t xml:space="preserve">VIGAS COM LARGURA 25 CM</t>
  </si>
  <si>
    <t xml:space="preserve"> 25X60 + RESPIRO</t>
  </si>
  <si>
    <t xml:space="preserve">BARRA</t>
  </si>
  <si>
    <t xml:space="preserve">2 BARRAS X METRAGEM LINEAR </t>
  </si>
  <si>
    <t xml:space="preserve">CONFORME PRANCHA 6-  COBERTURA</t>
  </si>
  <si>
    <t xml:space="preserve">VIGA 25X30</t>
  </si>
  <si>
    <t xml:space="preserve">PAREDE EXTERNA</t>
  </si>
  <si>
    <t xml:space="preserve">PAREDE INTERNA</t>
  </si>
  <si>
    <t xml:space="preserve">TETO</t>
  </si>
  <si>
    <t xml:space="preserve">CONTEMPLANDO O PISO DOS 2 BANHEIROS AMPLIADOS </t>
  </si>
  <si>
    <t xml:space="preserve">JANELA E DIVISA DO BANHEIRO E GUARITA </t>
  </si>
  <si>
    <t xml:space="preserve">CONTEMPLANDO OS DOIS BANHEIROS </t>
  </si>
  <si>
    <t xml:space="preserve">COMPOSIÇÃO</t>
  </si>
  <si>
    <t xml:space="preserve">CO1</t>
  </si>
  <si>
    <t xml:space="preserve">REATERRO MANUAL APILOADO COM SOQUETE</t>
  </si>
  <si>
    <t xml:space="preserve">COMTEMPLA AS DUAS GUARITAS </t>
  </si>
  <si>
    <t xml:space="preserve">COMTEMPLA AS DUAS GUARITAS, JANELAS E PORTAS</t>
  </si>
  <si>
    <t xml:space="preserve">CONSTRUÇÃO DE RAMPAS DE ACESSIBILIDADE - GUARITA RUA 10</t>
  </si>
  <si>
    <t xml:space="preserve">PISO EM FRENTE GUARITA DA RUA 10</t>
  </si>
  <si>
    <t xml:space="preserve">ALTURA </t>
  </si>
  <si>
    <t xml:space="preserve">9.2</t>
  </si>
  <si>
    <t xml:space="preserve">9.3</t>
  </si>
  <si>
    <t xml:space="preserve">9.4</t>
  </si>
  <si>
    <t xml:space="preserve">9.5</t>
  </si>
  <si>
    <t xml:space="preserve">9.6</t>
  </si>
  <si>
    <t xml:space="preserve">9.7</t>
  </si>
  <si>
    <t xml:space="preserve">9.8</t>
  </si>
  <si>
    <t xml:space="preserve">BROCA 25X25 (+ RESPIRO DE 0,04 M) = 1,04</t>
  </si>
  <si>
    <t xml:space="preserve">ALTURA - PÉ DIREITO</t>
  </si>
  <si>
    <t xml:space="preserve">VERGA  </t>
  </si>
  <si>
    <t xml:space="preserve">CONTRA-VERGA</t>
  </si>
  <si>
    <t xml:space="preserve">M LINEAR </t>
  </si>
  <si>
    <t xml:space="preserve">DESCONTO DE JANELAS </t>
  </si>
  <si>
    <t xml:space="preserve">TOTAL PAREDES EXTERNAS </t>
  </si>
  <si>
    <t xml:space="preserve">TOTAL PAREDES INTERNAS </t>
  </si>
  <si>
    <t xml:space="preserve">BANHEIRO 1</t>
  </si>
  <si>
    <t xml:space="preserve">BANHEIRO 2</t>
  </si>
  <si>
    <t xml:space="preserve">PORTAS DE 70 CM </t>
  </si>
  <si>
    <t xml:space="preserve">ACOMPANHAR PLANTA BAIXA </t>
  </si>
  <si>
    <t xml:space="preserve">PARQUINHO INFANTIL </t>
  </si>
  <si>
    <t xml:space="preserve"> 20.04.020</t>
  </si>
  <si>
    <t xml:space="preserve">PILARES </t>
  </si>
  <si>
    <t xml:space="preserve">COBERTURA ( LATERAL )</t>
  </si>
  <si>
    <t xml:space="preserve">COBERTURA ( PREENCHIMENTO )</t>
  </si>
  <si>
    <t xml:space="preserve">BANCO FORMATO DE S</t>
  </si>
  <si>
    <t xml:space="preserve">MESA</t>
  </si>
  <si>
    <t xml:space="preserve">BANCO DA MESA CIRCULAR</t>
  </si>
  <si>
    <t xml:space="preserve">5 UN</t>
  </si>
  <si>
    <t xml:space="preserve">20 UN </t>
  </si>
  <si>
    <t xml:space="preserve">BROCA 25X25 (+ RESPIRO DE 0,04 M) =1,04</t>
  </si>
  <si>
    <t xml:space="preserve">1 ESTRIBO A CADA 0,15 METROS - 39 METROS / 0,15 = 260 UNIDADES DE TRIBRIBO</t>
  </si>
  <si>
    <t xml:space="preserve">260 UNIDADES X 1,04 METROS = 270,40 METROS </t>
  </si>
  <si>
    <t xml:space="preserve">270,40 METROS X 0,154 KG = 41,64 KG </t>
  </si>
  <si>
    <t xml:space="preserve">1 ESTRIBO A CADA 0,15 METROS - 31,46 METROS / 0,15 = 210 UNIDADES DE TRIBRIBO</t>
  </si>
  <si>
    <t xml:space="preserve">210 UNIDADES X (0,30*2+1,00*20+0,04) METROS = 554,40METROS </t>
  </si>
  <si>
    <t xml:space="preserve">554,40 METROS X 0,154 KG = 85,37 KG </t>
  </si>
  <si>
    <t xml:space="preserve">10 UNIDADES DE BARRA COM 31,46 METROS LINEAR = 314,60 METROS</t>
  </si>
  <si>
    <t xml:space="preserve">314,60  METROS X 0,617 KG = 194,10 KG </t>
  </si>
  <si>
    <t xml:space="preserve">VIGA 25X40</t>
  </si>
  <si>
    <t xml:space="preserve">PINTURA DOS MOURÕES </t>
  </si>
  <si>
    <t xml:space="preserve">LADOS</t>
  </si>
  <si>
    <t xml:space="preserve">MOURÃO </t>
  </si>
  <si>
    <t xml:space="preserve">MURETA</t>
  </si>
  <si>
    <t xml:space="preserve">2 UNIDADES DE PORTÃO DE 2 METROS X 2,65</t>
  </si>
  <si>
    <t xml:space="preserve">18.</t>
  </si>
  <si>
    <t xml:space="preserve">COMPRIMENTO</t>
  </si>
  <si>
    <t xml:space="preserve">ESPELHO DA ARQUIBANCADA</t>
  </si>
  <si>
    <t xml:space="preserve">PISO DA ARQUIBANCADA </t>
  </si>
  <si>
    <t xml:space="preserve">MURO ENTRADA BRINQUEDOTECA</t>
  </si>
  <si>
    <t xml:space="preserve">MURO BRINQUEDOTECA</t>
  </si>
  <si>
    <t xml:space="preserve">ALTURA(PÉ DIREITO</t>
  </si>
  <si>
    <t xml:space="preserve">TOTAL DO ITEM </t>
  </si>
  <si>
    <t xml:space="preserve">PINTURA – FACES EXTERNAS E INTERNA </t>
  </si>
  <si>
    <t xml:space="preserve">LARGURA</t>
  </si>
  <si>
    <t xml:space="preserve">VÃO JANELA</t>
  </si>
  <si>
    <t xml:space="preserve">VÃO PORTA</t>
  </si>
  <si>
    <t xml:space="preserve">ÁREA</t>
  </si>
  <si>
    <t xml:space="preserve">FABRICAÇÃO E INSTALAÇÃO DE MEIA TESOURA DE MADEIRA NÃO APARELHADA, COM VÃO DE 6 M, PARA TELHA CERÂMICA OU DE CONCRETO, INCLUSO IÇAMENTO. AF_
               07/2019</t>
  </si>
  <si>
    <t xml:space="preserve">CORRENTE ELO CURTO GALVANIZADO 4MM CARGA TRABALHO 100KG
RESERVATORIO RETENÇÃO AGUA PLUVIAL 
</t>
  </si>
  <si>
    <t xml:space="preserve">TELAS </t>
  </si>
  <si>
    <t xml:space="preserve">22.1</t>
  </si>
  <si>
    <t xml:space="preserve">DRENAGEM</t>
  </si>
  <si>
    <t xml:space="preserve">22.1.1</t>
  </si>
  <si>
    <t xml:space="preserve">22.1.2</t>
  </si>
  <si>
    <t xml:space="preserve">22.1.3</t>
  </si>
  <si>
    <t xml:space="preserve">22.1.4</t>
  </si>
  <si>
    <t xml:space="preserve">22.1.5</t>
  </si>
  <si>
    <t xml:space="preserve">22.1.6</t>
  </si>
  <si>
    <t xml:space="preserve">22.1.7</t>
  </si>
  <si>
    <t xml:space="preserve">CÁLCULO DO BDI</t>
  </si>
  <si>
    <t xml:space="preserve">COMPOSIÇÃO DO BDI (ACÓRDÃO 2622/2013-TCU-PLENÁRIO)</t>
  </si>
  <si>
    <t xml:space="preserve">ITENS</t>
  </si>
  <si>
    <t xml:space="preserve">%</t>
  </si>
  <si>
    <t xml:space="preserve">AC</t>
  </si>
  <si>
    <t xml:space="preserve">ADMINISTRAÇÃO CENTRAL</t>
  </si>
  <si>
    <t xml:space="preserve">S</t>
  </si>
  <si>
    <t xml:space="preserve">SEGUROS</t>
  </si>
  <si>
    <t xml:space="preserve">R</t>
  </si>
  <si>
    <t xml:space="preserve">RISCOS</t>
  </si>
  <si>
    <t xml:space="preserve">G</t>
  </si>
  <si>
    <t xml:space="preserve">GARANTIAS</t>
  </si>
  <si>
    <t xml:space="preserve">DF</t>
  </si>
  <si>
    <t xml:space="preserve">DESPESAS FINANCEIRAS</t>
  </si>
  <si>
    <t xml:space="preserve">L</t>
  </si>
  <si>
    <t xml:space="preserve">LUCRO/REMUNERAÇÃO</t>
  </si>
  <si>
    <t xml:space="preserve">IMPOSTOS/TRIBUTOS</t>
  </si>
  <si>
    <t xml:space="preserve">PIS</t>
  </si>
  <si>
    <t xml:space="preserve">COFINS</t>
  </si>
  <si>
    <t xml:space="preserve">ISS</t>
  </si>
  <si>
    <t xml:space="preserve">CONTRIBUIÇÃO PREVIDENCIÁRIA</t>
  </si>
  <si>
    <t xml:space="preserve">TAXA DO BDI  (%)</t>
  </si>
  <si>
    <t xml:space="preserve">DECLARAMOS SOB PENA DA LEI QUE A ALTERNATIVA ADOTADA PELA PREFEITURA DO MUNICÍPIO DE ORLÂNDIA É  SEM DESONERAÇÃO E QUE ESTA É A MAIS VANTAJOSA PARA A ADMINISTRAÇÃO PÚBLICA.</t>
  </si>
  <si>
    <r>
      <rPr>
        <b val="true"/>
        <sz val="12"/>
        <color rgb="FF000000"/>
        <rFont val="Times New Roman"/>
        <family val="1"/>
        <charset val="1"/>
      </rPr>
      <t xml:space="preserve">PREFEITURA MUNICIPAL DE ORLÂNDIA
</t>
    </r>
    <r>
      <rPr>
        <sz val="10"/>
        <color rgb="FF000000"/>
        <rFont val="Times New Roman"/>
        <family val="1"/>
        <charset val="1"/>
      </rPr>
      <t xml:space="preserve">Estado de São Paulo
</t>
    </r>
    <r>
      <rPr>
        <b val="true"/>
        <sz val="8"/>
        <color rgb="FF000000"/>
        <rFont val="Times New Roman"/>
        <family val="1"/>
        <charset val="1"/>
      </rPr>
      <t xml:space="preserve">SECRETARIA MUNICIPAL DE INFRAESTRUTURA
</t>
    </r>
    <r>
      <rPr>
        <sz val="11"/>
        <color rgb="FF000000"/>
        <rFont val="Times New Roman"/>
        <family val="1"/>
        <charset val="1"/>
      </rPr>
      <t xml:space="preserve">
</t>
    </r>
    <r>
      <rPr>
        <sz val="7"/>
        <color rgb="FF000000"/>
        <rFont val="Times New Roman"/>
        <family val="1"/>
        <charset val="1"/>
      </rPr>
      <t xml:space="preserve">PÇA. CEL. ORLANDO, 600 – CX. POSTAL, 77 – CEP 14620-000 – FONE PABX (16) 3820-8010
CNPJ: 45.351.749/0001–11</t>
    </r>
  </si>
  <si>
    <t xml:space="preserve">CRONOGRAMA FÍSICO-FINANCEIRO</t>
  </si>
  <si>
    <t xml:space="preserve">MÊS 01</t>
  </si>
  <si>
    <t xml:space="preserve">MÊS 02</t>
  </si>
  <si>
    <t xml:space="preserve">MÊS 03</t>
  </si>
  <si>
    <t xml:space="preserve">MÊS 04</t>
  </si>
  <si>
    <t xml:space="preserve">MÊS 05</t>
  </si>
  <si>
    <t xml:space="preserve">MÊS 06</t>
  </si>
  <si>
    <t xml:space="preserve">MÊS 07</t>
  </si>
  <si>
    <t xml:space="preserve">MÊS 08</t>
  </si>
  <si>
    <t xml:space="preserve">MÊS 09</t>
  </si>
  <si>
    <t xml:space="preserve">MÊS 10</t>
  </si>
  <si>
    <t xml:space="preserve">MÊS 11</t>
  </si>
  <si>
    <t xml:space="preserve">R$</t>
  </si>
  <si>
    <t xml:space="preserve">TOTAL POR MÊS (R$)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</si>
</sst>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_-&quot;R$ &quot;* #,##0.00_-;&quot;-R$ &quot;* #,##0.00_-;_-&quot;R$ &quot;* \-??_-;_-@_-"/>
    <numFmt numFmtId="166" formatCode="#,##0.00"/>
    <numFmt numFmtId="167" formatCode="[$R$-416]\ #,##0.00;[RED]\-[$R$-416]\ #,##0.00"/>
    <numFmt numFmtId="168" formatCode="[$R$-416]\ #,##0.0000000;[RED]\-[$R$-416]\ #,##0.0000000"/>
    <numFmt numFmtId="169" formatCode="0.00"/>
    <numFmt numFmtId="170" formatCode="#,##0.00\ ;&quot; (&quot;#,##0.00\);\-#\ ;@\ "/>
    <numFmt numFmtId="171" formatCode="#,##0.0000"/>
    <numFmt numFmtId="172" formatCode="#,###.0000"/>
    <numFmt numFmtId="173" formatCode="[$R$-416]\ #,##0.00;[RED][$R$-416]\ #,##0.00"/>
    <numFmt numFmtId="174" formatCode="[$R$-416]\ #,##0.00;[RED]\-[$R$-416]\ #,##0.00"/>
    <numFmt numFmtId="175" formatCode="0"/>
    <numFmt numFmtId="176" formatCode="General"/>
    <numFmt numFmtId="177" formatCode="0.00%"/>
  </numFmts>
  <fonts count="4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color rgb="FF000000"/>
      <name val="Liberation Sans1"/>
      <family val="0"/>
      <charset val="1"/>
    </font>
    <font>
      <sz val="8"/>
      <color rgb="FF000000"/>
      <name val="Times New Roman"/>
      <family val="1"/>
      <charset val="1"/>
    </font>
    <font>
      <sz val="8"/>
      <color rgb="FF000000"/>
      <name val="Liberation Sans1"/>
      <family val="0"/>
      <charset val="1"/>
    </font>
    <font>
      <b val="true"/>
      <u val="single"/>
      <sz val="12"/>
      <color rgb="FF000000"/>
      <name val="Times New Roman"/>
      <family val="1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2"/>
      <family val="0"/>
      <charset val="1"/>
    </font>
    <font>
      <sz val="7"/>
      <color rgb="FF000000"/>
      <name val="Calibri2"/>
      <family val="0"/>
      <charset val="1"/>
    </font>
    <font>
      <b val="true"/>
      <sz val="7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"/>
      <color theme="1"/>
      <name val="Calibri"/>
      <family val="2"/>
      <charset val="1"/>
    </font>
    <font>
      <b val="true"/>
      <sz val="7"/>
      <color theme="0"/>
      <name val="Calibri"/>
      <family val="2"/>
      <charset val="1"/>
    </font>
    <font>
      <sz val="6"/>
      <color rgb="FF000000"/>
      <name val="Arial"/>
      <family val="2"/>
      <charset val="1"/>
    </font>
    <font>
      <sz val="8"/>
      <color rgb="FF000000"/>
      <name val="Calibri1"/>
      <family val="0"/>
      <charset val="1"/>
    </font>
    <font>
      <sz val="8"/>
      <color theme="1"/>
      <name val="Calibri"/>
      <family val="2"/>
      <charset val="1"/>
    </font>
    <font>
      <sz val="6"/>
      <color theme="1"/>
      <name val="Arial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7"/>
      <color rgb="FF000000"/>
      <name val="Liberation Sans1"/>
      <family val="0"/>
      <charset val="1"/>
    </font>
    <font>
      <sz val="7"/>
      <color rgb="FF000000"/>
      <name val="Liberation Sans1"/>
      <family val="0"/>
      <charset val="1"/>
    </font>
    <font>
      <b val="true"/>
      <sz val="7"/>
      <name val="Calibri"/>
      <family val="2"/>
      <charset val="1"/>
    </font>
    <font>
      <b val="true"/>
      <sz val="7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7"/>
      <color rgb="FFFFFFFF"/>
      <name val="Calibri"/>
      <family val="2"/>
      <charset val="1"/>
    </font>
    <font>
      <sz val="5"/>
      <color rgb="FF000000"/>
      <name val="Liberation Sans1"/>
      <family val="0"/>
      <charset val="1"/>
    </font>
    <font>
      <sz val="7"/>
      <color rgb="FFFFFFFF"/>
      <name val="Calibri"/>
      <family val="2"/>
      <charset val="1"/>
    </font>
    <font>
      <sz val="6"/>
      <color rgb="FF000000"/>
      <name val="Times New Roman1"/>
      <family val="0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.5"/>
      <color theme="1"/>
      <name val="Calibri"/>
      <family val="2"/>
      <charset val="1"/>
    </font>
    <font>
      <sz val="10.5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 val="true"/>
      <sz val="6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6"/>
      <color theme="1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B2B2B2"/>
        <bgColor rgb="FFB7B3CA"/>
      </patternFill>
    </fill>
    <fill>
      <patternFill patternType="solid">
        <fgColor rgb="FF729FCF"/>
        <bgColor rgb="FF8EA9DB"/>
      </patternFill>
    </fill>
    <fill>
      <patternFill patternType="solid">
        <fgColor rgb="FFFFFF00"/>
        <bgColor rgb="FFFFD966"/>
      </patternFill>
    </fill>
    <fill>
      <patternFill patternType="solid">
        <fgColor rgb="FF92D050"/>
        <bgColor rgb="FFA9D08E"/>
      </patternFill>
    </fill>
    <fill>
      <patternFill patternType="solid">
        <fgColor rgb="FFFFC000"/>
        <bgColor rgb="FFFFD966"/>
      </patternFill>
    </fill>
    <fill>
      <patternFill patternType="solid">
        <fgColor rgb="FF800080"/>
        <bgColor rgb="FF800080"/>
      </patternFill>
    </fill>
    <fill>
      <patternFill patternType="solid">
        <fgColor rgb="FFB4C7DC"/>
        <bgColor rgb="FF9DC3E6"/>
      </patternFill>
    </fill>
    <fill>
      <patternFill patternType="solid">
        <fgColor theme="9"/>
        <bgColor rgb="FF92D050"/>
      </patternFill>
    </fill>
    <fill>
      <patternFill patternType="solid">
        <fgColor rgb="FF8EA9DB"/>
        <bgColor rgb="FF8FAADC"/>
      </patternFill>
    </fill>
    <fill>
      <patternFill patternType="solid">
        <fgColor theme="8" tint="0.5999"/>
        <bgColor rgb="FFB4C7DC"/>
      </patternFill>
    </fill>
    <fill>
      <patternFill patternType="solid">
        <fgColor rgb="FFBF819E"/>
        <bgColor rgb="FFB2B2B2"/>
      </patternFill>
    </fill>
    <fill>
      <patternFill patternType="solid">
        <fgColor rgb="FF002060"/>
        <bgColor rgb="FF000080"/>
      </patternFill>
    </fill>
    <fill>
      <patternFill patternType="solid">
        <fgColor rgb="FFFFFFFF"/>
        <bgColor rgb="FFFFF2CC"/>
      </patternFill>
    </fill>
    <fill>
      <patternFill patternType="solid">
        <fgColor rgb="FF3465A4"/>
        <bgColor rgb="FF3366FF"/>
      </patternFill>
    </fill>
    <fill>
      <patternFill patternType="solid">
        <fgColor rgb="FFFF66CC"/>
        <bgColor rgb="FFFF33CC"/>
      </patternFill>
    </fill>
    <fill>
      <patternFill patternType="solid">
        <fgColor theme="8" tint="0.3999"/>
        <bgColor rgb="FFB4C7DC"/>
      </patternFill>
    </fill>
    <fill>
      <patternFill patternType="solid">
        <fgColor theme="4" tint="0.3999"/>
        <bgColor rgb="FF8EA9DB"/>
      </patternFill>
    </fill>
    <fill>
      <patternFill patternType="solid">
        <fgColor theme="7" tint="0.7999"/>
        <bgColor rgb="FFE2F0D9"/>
      </patternFill>
    </fill>
    <fill>
      <patternFill patternType="solid">
        <fgColor theme="9" tint="0.7999"/>
        <bgColor rgb="FFE2EFDA"/>
      </patternFill>
    </fill>
    <fill>
      <patternFill patternType="solid">
        <fgColor rgb="FFFFE699"/>
        <bgColor rgb="FFFFF2CC"/>
      </patternFill>
    </fill>
    <fill>
      <patternFill patternType="solid">
        <fgColor rgb="FFE2EFDA"/>
        <bgColor rgb="FFE2F0D9"/>
      </patternFill>
    </fill>
    <fill>
      <patternFill patternType="solid">
        <fgColor rgb="FFFF33CC"/>
        <bgColor rgb="FFFF66CC"/>
      </patternFill>
    </fill>
    <fill>
      <patternFill patternType="solid">
        <fgColor theme="7" tint="0.3999"/>
        <bgColor rgb="FFFFE699"/>
      </patternFill>
    </fill>
    <fill>
      <patternFill patternType="solid">
        <fgColor rgb="FFC6E0B4"/>
        <bgColor rgb="FFD9D9D9"/>
      </patternFill>
    </fill>
    <fill>
      <patternFill patternType="solid">
        <fgColor rgb="FFD9D9D9"/>
        <bgColor rgb="FFDAE3F3"/>
      </patternFill>
    </fill>
    <fill>
      <patternFill patternType="solid">
        <fgColor rgb="FFA9D08E"/>
        <bgColor rgb="FFC6E0B4"/>
      </patternFill>
    </fill>
    <fill>
      <patternFill patternType="solid">
        <fgColor rgb="FFE0C2CD"/>
        <bgColor rgb="FFCCCCCC"/>
      </patternFill>
    </fill>
    <fill>
      <patternFill patternType="solid">
        <fgColor rgb="FFB7B3CA"/>
        <bgColor rgb="FFB2B2B2"/>
      </patternFill>
    </fill>
    <fill>
      <patternFill patternType="solid">
        <fgColor rgb="FFCCCCCC"/>
        <bgColor rgb="FFD9D9D9"/>
      </patternFill>
    </fill>
    <fill>
      <patternFill patternType="solid">
        <fgColor theme="4" tint="0.7999"/>
        <bgColor rgb="FFDEE6EF"/>
      </patternFill>
    </fill>
    <fill>
      <patternFill patternType="solid">
        <fgColor rgb="FFDEE6EF"/>
        <bgColor rgb="FFDAE3F3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3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7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8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8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6" fontId="2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1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8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9" fontId="19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1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0" fillId="1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justify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7" fillId="1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31" fillId="15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5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1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16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9" fillId="2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17" fillId="2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19" fillId="2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17" fillId="2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2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6" fontId="1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2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7" fillId="2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2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2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2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0" fillId="18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7" fillId="2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2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7" fillId="2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2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1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1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7" fillId="2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2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5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7" fillId="2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5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7" fontId="16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9" fontId="17" fillId="26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6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7" fontId="17" fillId="26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27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1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6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8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18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9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7" fontId="16" fillId="29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3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7" fontId="3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5" fillId="3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35" fillId="3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1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1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4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4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3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3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43" fillId="3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42" fillId="3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3" fillId="3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3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3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3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43" fillId="3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42" fillId="3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3" fillId="3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3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8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2" fillId="1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DAE3F3"/>
      <rgbColor rgb="FF800000"/>
      <rgbColor rgb="FF008000"/>
      <rgbColor rgb="FF000080"/>
      <rgbColor rgb="FFB4C7DC"/>
      <rgbColor rgb="FF800080"/>
      <rgbColor rgb="FF008080"/>
      <rgbColor rgb="FFB7B3CA"/>
      <rgbColor rgb="FF729FCF"/>
      <rgbColor rgb="FF8EA9DB"/>
      <rgbColor rgb="FF993366"/>
      <rgbColor rgb="FFFFF2CC"/>
      <rgbColor rgb="FFE2EFDA"/>
      <rgbColor rgb="FF660066"/>
      <rgbColor rgb="FFFF66CC"/>
      <rgbColor rgb="FF0066CC"/>
      <rgbColor rgb="FFBDD7EE"/>
      <rgbColor rgb="FF000080"/>
      <rgbColor rgb="FFFF00FF"/>
      <rgbColor rgb="FFC6E0B4"/>
      <rgbColor rgb="FF00FFFF"/>
      <rgbColor rgb="FF800080"/>
      <rgbColor rgb="FF800000"/>
      <rgbColor rgb="FF008080"/>
      <rgbColor rgb="FF0000FF"/>
      <rgbColor rgb="FFD9D9D9"/>
      <rgbColor rgb="FFDEE6EF"/>
      <rgbColor rgb="FFE2F0D9"/>
      <rgbColor rgb="FFFFE699"/>
      <rgbColor rgb="FF9DC3E6"/>
      <rgbColor rgb="FFE0C2CD"/>
      <rgbColor rgb="FFB2B2B2"/>
      <rgbColor rgb="FFFFD966"/>
      <rgbColor rgb="FF3366FF"/>
      <rgbColor rgb="FF8FAADC"/>
      <rgbColor rgb="FF92D050"/>
      <rgbColor rgb="FFFFC000"/>
      <rgbColor rgb="FFA9D08E"/>
      <rgbColor rgb="FFCCCCCC"/>
      <rgbColor rgb="FF3465A4"/>
      <rgbColor rgb="FFBF819E"/>
      <rgbColor rgb="FF002060"/>
      <rgbColor rgb="FF70AD4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214200</xdr:colOff>
      <xdr:row>0</xdr:row>
      <xdr:rowOff>909000</xdr:rowOff>
    </xdr:to>
    <xdr:pic>
      <xdr:nvPicPr>
        <xdr:cNvPr id="0" name="Figura 10" descr=""/>
        <xdr:cNvPicPr/>
      </xdr:nvPicPr>
      <xdr:blipFill>
        <a:blip r:embed="rId1"/>
        <a:stretch/>
      </xdr:blipFill>
      <xdr:spPr>
        <a:xfrm>
          <a:off x="0" y="0"/>
          <a:ext cx="825840" cy="90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214200</xdr:colOff>
      <xdr:row>0</xdr:row>
      <xdr:rowOff>909000</xdr:rowOff>
    </xdr:to>
    <xdr:pic>
      <xdr:nvPicPr>
        <xdr:cNvPr id="1" name="Figura 10" descr=""/>
        <xdr:cNvPicPr/>
      </xdr:nvPicPr>
      <xdr:blipFill>
        <a:blip r:embed="rId1"/>
        <a:stretch/>
      </xdr:blipFill>
      <xdr:spPr>
        <a:xfrm>
          <a:off x="0" y="0"/>
          <a:ext cx="825840" cy="90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1</xdr:col>
      <xdr:colOff>214560</xdr:colOff>
      <xdr:row>0</xdr:row>
      <xdr:rowOff>909000</xdr:rowOff>
    </xdr:to>
    <xdr:pic>
      <xdr:nvPicPr>
        <xdr:cNvPr id="2" name="Figura 1" descr=""/>
        <xdr:cNvPicPr/>
      </xdr:nvPicPr>
      <xdr:blipFill>
        <a:blip r:embed="rId1"/>
        <a:stretch/>
      </xdr:blipFill>
      <xdr:spPr>
        <a:xfrm>
          <a:off x="360" y="0"/>
          <a:ext cx="825840" cy="90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1</xdr:col>
      <xdr:colOff>214560</xdr:colOff>
      <xdr:row>0</xdr:row>
      <xdr:rowOff>909000</xdr:rowOff>
    </xdr:to>
    <xdr:pic>
      <xdr:nvPicPr>
        <xdr:cNvPr id="3" name="Figura 2" descr=""/>
        <xdr:cNvPicPr/>
      </xdr:nvPicPr>
      <xdr:blipFill>
        <a:blip r:embed="rId1"/>
        <a:stretch/>
      </xdr:blipFill>
      <xdr:spPr>
        <a:xfrm>
          <a:off x="360" y="0"/>
          <a:ext cx="825840" cy="90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33480</xdr:colOff>
      <xdr:row>0</xdr:row>
      <xdr:rowOff>0</xdr:rowOff>
    </xdr:from>
    <xdr:to>
      <xdr:col>1</xdr:col>
      <xdr:colOff>450360</xdr:colOff>
      <xdr:row>0</xdr:row>
      <xdr:rowOff>955800</xdr:rowOff>
    </xdr:to>
    <xdr:pic>
      <xdr:nvPicPr>
        <xdr:cNvPr id="4" name="Figura 3" descr=""/>
        <xdr:cNvPicPr/>
      </xdr:nvPicPr>
      <xdr:blipFill>
        <a:blip r:embed="rId1"/>
        <a:stretch/>
      </xdr:blipFill>
      <xdr:spPr>
        <a:xfrm>
          <a:off x="33480" y="0"/>
          <a:ext cx="869040" cy="955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30" zoomScaleNormal="120" zoomScalePageLayoutView="130" workbookViewId="0">
      <selection pane="topLeft" activeCell="L1" activeCellId="0" sqref="L1"/>
    </sheetView>
  </sheetViews>
  <sheetFormatPr defaultColWidth="8.6796875" defaultRowHeight="17.5" zeroHeight="false" outlineLevelRow="0" outlineLevelCol="0"/>
  <cols>
    <col collapsed="false" customWidth="false" hidden="false" outlineLevel="0" max="3" min="1" style="1" width="8.68"/>
    <col collapsed="false" customWidth="true" hidden="false" outlineLevel="0" max="4" min="4" style="2" width="52.13"/>
    <col collapsed="false" customWidth="true" hidden="false" outlineLevel="0" max="5" min="5" style="1" width="6.44"/>
    <col collapsed="false" customWidth="true" hidden="false" outlineLevel="0" max="6" min="6" style="3" width="6.85"/>
    <col collapsed="false" customWidth="true" hidden="false" outlineLevel="0" max="7" min="7" style="1" width="10.06"/>
    <col collapsed="false" customWidth="true" hidden="true" outlineLevel="0" max="9" min="8" style="1" width="10.06"/>
    <col collapsed="false" customWidth="true" hidden="false" outlineLevel="0" max="10" min="10" style="1" width="10.06"/>
    <col collapsed="false" customWidth="true" hidden="false" outlineLevel="0" max="11" min="11" style="4" width="10.06"/>
  </cols>
  <sheetData>
    <row r="1" s="1" customFormat="true" ht="85.0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customFormat="false" ht="23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="10" customFormat="true" ht="33.75" hidden="false" customHeight="true" outlineLevel="0" collapsed="false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M3" s="11"/>
      <c r="N3" s="12"/>
      <c r="O3" s="12"/>
      <c r="P3" s="13"/>
      <c r="XEW3" s="14"/>
      <c r="XEX3" s="14"/>
      <c r="XEY3" s="14"/>
      <c r="XEZ3" s="14"/>
      <c r="XFA3" s="14"/>
      <c r="XFB3" s="14"/>
      <c r="XFC3" s="14"/>
      <c r="XFD3" s="14"/>
    </row>
    <row r="4" customFormat="false" ht="17.5" hidden="false" customHeight="false" outlineLevel="0" collapsed="false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  <c r="G4" s="18" t="s">
        <v>9</v>
      </c>
      <c r="H4" s="18" t="s">
        <v>10</v>
      </c>
      <c r="I4" s="19" t="s">
        <v>11</v>
      </c>
      <c r="J4" s="18" t="s">
        <v>12</v>
      </c>
      <c r="K4" s="18" t="s">
        <v>13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customFormat="false" ht="17.5" hidden="false" customHeight="false" outlineLevel="0" collapsed="false">
      <c r="A5" s="20" t="s">
        <v>14</v>
      </c>
      <c r="B5" s="21" t="s">
        <v>15</v>
      </c>
      <c r="C5" s="21"/>
      <c r="D5" s="21"/>
      <c r="E5" s="21"/>
      <c r="F5" s="21"/>
      <c r="G5" s="21"/>
      <c r="H5" s="21"/>
      <c r="I5" s="21"/>
      <c r="J5" s="21"/>
      <c r="K5" s="22"/>
    </row>
    <row r="6" customFormat="false" ht="17.5" hidden="false" customHeight="false" outlineLevel="0" collapsed="false">
      <c r="A6" s="23" t="s">
        <v>16</v>
      </c>
      <c r="B6" s="24" t="s">
        <v>17</v>
      </c>
      <c r="C6" s="23" t="n">
        <v>4813</v>
      </c>
      <c r="D6" s="25" t="s">
        <v>18</v>
      </c>
      <c r="E6" s="23" t="s">
        <v>19</v>
      </c>
      <c r="F6" s="26" t="n">
        <f aca="false">4*2</f>
        <v>8</v>
      </c>
      <c r="G6" s="27" t="n">
        <v>400</v>
      </c>
      <c r="H6" s="27" t="n">
        <f aca="false">G6*F6</f>
        <v>3200</v>
      </c>
      <c r="I6" s="28" t="n">
        <v>1.207</v>
      </c>
      <c r="J6" s="27" t="n">
        <f aca="false">ROUND(G6*I6,2)</f>
        <v>482.8</v>
      </c>
      <c r="K6" s="27" t="n">
        <f aca="false">J6*F6</f>
        <v>3862.4</v>
      </c>
      <c r="L6" s="29"/>
      <c r="M6" s="29"/>
      <c r="N6" s="29"/>
      <c r="O6" s="29"/>
      <c r="P6" s="2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customFormat="false" ht="17.5" hidden="false" customHeight="false" outlineLevel="0" collapsed="false">
      <c r="A7" s="23" t="s">
        <v>20</v>
      </c>
      <c r="B7" s="30" t="s">
        <v>21</v>
      </c>
      <c r="C7" s="23" t="s">
        <v>22</v>
      </c>
      <c r="D7" s="25" t="s">
        <v>23</v>
      </c>
      <c r="E7" s="23" t="s">
        <v>24</v>
      </c>
      <c r="F7" s="26" t="n">
        <v>80</v>
      </c>
      <c r="G7" s="27" t="n">
        <f aca="false">124.36/1.23</f>
        <v>101.105691056911</v>
      </c>
      <c r="H7" s="27" t="n">
        <f aca="false">G7*F7</f>
        <v>8088.45528455285</v>
      </c>
      <c r="I7" s="28" t="n">
        <v>1.207</v>
      </c>
      <c r="J7" s="27" t="n">
        <f aca="false">ROUND(G7*I7,2)</f>
        <v>122.03</v>
      </c>
      <c r="K7" s="27" t="n">
        <f aca="false">J7*F7</f>
        <v>9762.4</v>
      </c>
      <c r="L7" s="29"/>
      <c r="M7" s="29"/>
      <c r="N7" s="29"/>
      <c r="O7" s="29"/>
      <c r="P7" s="2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customFormat="false" ht="17.5" hidden="false" customHeight="false" outlineLevel="0" collapsed="false">
      <c r="A8" s="23" t="s">
        <v>25</v>
      </c>
      <c r="B8" s="31" t="s">
        <v>26</v>
      </c>
      <c r="C8" s="23" t="s">
        <v>27</v>
      </c>
      <c r="D8" s="25" t="s">
        <v>28</v>
      </c>
      <c r="E8" s="23" t="s">
        <v>29</v>
      </c>
      <c r="F8" s="26" t="n">
        <v>11</v>
      </c>
      <c r="G8" s="27" t="n">
        <f aca="false">931.5/1.195</f>
        <v>779.497907949791</v>
      </c>
      <c r="H8" s="27" t="n">
        <f aca="false">G8*F8</f>
        <v>8574.4769874477</v>
      </c>
      <c r="I8" s="28" t="n">
        <v>1.207</v>
      </c>
      <c r="J8" s="27" t="n">
        <f aca="false">ROUND(G8*I8,2)</f>
        <v>940.85</v>
      </c>
      <c r="K8" s="27" t="n">
        <f aca="false">J8*F8</f>
        <v>10349.35</v>
      </c>
      <c r="L8" s="29"/>
      <c r="M8" s="29"/>
      <c r="N8" s="29"/>
      <c r="O8" s="29"/>
      <c r="P8" s="2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customFormat="false" ht="21.6" hidden="false" customHeight="false" outlineLevel="0" collapsed="false">
      <c r="A9" s="23" t="s">
        <v>30</v>
      </c>
      <c r="B9" s="31" t="s">
        <v>26</v>
      </c>
      <c r="C9" s="23" t="s">
        <v>31</v>
      </c>
      <c r="D9" s="25" t="s">
        <v>32</v>
      </c>
      <c r="E9" s="23" t="s">
        <v>29</v>
      </c>
      <c r="F9" s="26" t="n">
        <v>11</v>
      </c>
      <c r="G9" s="27" t="n">
        <f aca="false">1396.08/1.195</f>
        <v>1168.26778242678</v>
      </c>
      <c r="H9" s="27" t="n">
        <f aca="false">G9*F9</f>
        <v>12850.9456066946</v>
      </c>
      <c r="I9" s="28" t="n">
        <v>1.207</v>
      </c>
      <c r="J9" s="27" t="n">
        <f aca="false">ROUND(G9*I9,2)</f>
        <v>1410.1</v>
      </c>
      <c r="K9" s="27" t="n">
        <f aca="false">J9*F9</f>
        <v>15511.1</v>
      </c>
      <c r="L9" s="29"/>
      <c r="M9" s="29"/>
      <c r="N9" s="29"/>
      <c r="O9" s="29"/>
      <c r="P9" s="2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customFormat="false" ht="17.5" hidden="false" customHeight="false" outlineLevel="0" collapsed="false">
      <c r="A10" s="32"/>
      <c r="B10" s="32"/>
      <c r="C10" s="32"/>
      <c r="D10" s="32"/>
      <c r="E10" s="32"/>
      <c r="F10" s="32"/>
      <c r="G10" s="33" t="s">
        <v>33</v>
      </c>
      <c r="H10" s="33"/>
      <c r="I10" s="33"/>
      <c r="J10" s="33"/>
      <c r="K10" s="34" t="n">
        <f aca="false">SUM(K6:K9)</f>
        <v>39485.25</v>
      </c>
      <c r="L10" s="29"/>
      <c r="M10" s="29"/>
      <c r="N10" s="29"/>
      <c r="O10" s="29"/>
      <c r="P10" s="29"/>
    </row>
    <row r="11" customFormat="false" ht="17.5" hidden="false" customHeight="false" outlineLevel="0" collapsed="false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29"/>
      <c r="M11" s="29"/>
      <c r="N11" s="29"/>
      <c r="O11" s="29"/>
      <c r="P11" s="29"/>
    </row>
    <row r="12" customFormat="false" ht="17.5" hidden="false" customHeight="false" outlineLevel="0" collapsed="false">
      <c r="A12" s="20" t="s">
        <v>34</v>
      </c>
      <c r="B12" s="21" t="s">
        <v>35</v>
      </c>
      <c r="C12" s="21"/>
      <c r="D12" s="21"/>
      <c r="E12" s="21"/>
      <c r="F12" s="21"/>
      <c r="G12" s="21"/>
      <c r="H12" s="21"/>
      <c r="I12" s="21"/>
      <c r="J12" s="21"/>
      <c r="K12" s="22"/>
    </row>
    <row r="13" customFormat="false" ht="17.5" hidden="false" customHeight="false" outlineLevel="0" collapsed="false">
      <c r="A13" s="23" t="s">
        <v>36</v>
      </c>
      <c r="B13" s="30" t="s">
        <v>21</v>
      </c>
      <c r="C13" s="23" t="s">
        <v>37</v>
      </c>
      <c r="D13" s="25" t="s">
        <v>38</v>
      </c>
      <c r="E13" s="23" t="s">
        <v>39</v>
      </c>
      <c r="F13" s="36" t="n">
        <f aca="false">'MEMORIAL DE CALCULO'!F12</f>
        <v>3</v>
      </c>
      <c r="G13" s="37" t="n">
        <f aca="false">2266.48/1.23</f>
        <v>1842.66666666667</v>
      </c>
      <c r="H13" s="37" t="n">
        <f aca="false">F13*G13</f>
        <v>5528</v>
      </c>
      <c r="I13" s="38" t="n">
        <v>1.207</v>
      </c>
      <c r="J13" s="37" t="n">
        <f aca="false">ROUND(G13*I13,2)</f>
        <v>2224.1</v>
      </c>
      <c r="K13" s="37" t="n">
        <f aca="false">J13*F13</f>
        <v>6672.3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customFormat="false" ht="17.5" hidden="false" customHeight="false" outlineLevel="0" collapsed="false">
      <c r="A14" s="23" t="s">
        <v>40</v>
      </c>
      <c r="B14" s="30" t="s">
        <v>21</v>
      </c>
      <c r="C14" s="23" t="s">
        <v>41</v>
      </c>
      <c r="D14" s="25" t="s">
        <v>42</v>
      </c>
      <c r="E14" s="23" t="s">
        <v>39</v>
      </c>
      <c r="F14" s="36" t="n">
        <f aca="false">'MEMORIAL DE CALCULO'!F13</f>
        <v>9</v>
      </c>
      <c r="G14" s="37" t="n">
        <f aca="false">300.25/1.23</f>
        <v>244.105691056911</v>
      </c>
      <c r="H14" s="37" t="n">
        <f aca="false">F14*G14</f>
        <v>2196.9512195122</v>
      </c>
      <c r="I14" s="38" t="n">
        <v>1.207</v>
      </c>
      <c r="J14" s="37" t="n">
        <f aca="false">ROUND(G14*I14,2)</f>
        <v>294.64</v>
      </c>
      <c r="K14" s="37" t="n">
        <f aca="false">J14*F14</f>
        <v>2651.76</v>
      </c>
    </row>
    <row r="15" customFormat="false" ht="17.5" hidden="false" customHeight="false" outlineLevel="0" collapsed="false">
      <c r="A15" s="23" t="s">
        <v>43</v>
      </c>
      <c r="B15" s="30" t="s">
        <v>21</v>
      </c>
      <c r="C15" s="23" t="s">
        <v>44</v>
      </c>
      <c r="D15" s="25" t="s">
        <v>45</v>
      </c>
      <c r="E15" s="23" t="s">
        <v>19</v>
      </c>
      <c r="F15" s="36" t="n">
        <f aca="false">'MEMORIAL DE CALCULO'!F14</f>
        <v>3695</v>
      </c>
      <c r="G15" s="37" t="n">
        <f aca="false">1.32/1.23</f>
        <v>1.07317073170732</v>
      </c>
      <c r="H15" s="37" t="n">
        <f aca="false">F15*G15</f>
        <v>3965.36585365854</v>
      </c>
      <c r="I15" s="38" t="n">
        <v>1.207</v>
      </c>
      <c r="J15" s="37" t="n">
        <f aca="false">ROUND(G15*I15,2)</f>
        <v>1.3</v>
      </c>
      <c r="K15" s="37" t="n">
        <f aca="false">J15*F15</f>
        <v>4803.5</v>
      </c>
    </row>
    <row r="16" customFormat="false" ht="21.6" hidden="false" customHeight="false" outlineLevel="0" collapsed="false">
      <c r="A16" s="23" t="s">
        <v>46</v>
      </c>
      <c r="B16" s="31" t="s">
        <v>26</v>
      </c>
      <c r="C16" s="23" t="s">
        <v>47</v>
      </c>
      <c r="D16" s="25" t="s">
        <v>48</v>
      </c>
      <c r="E16" s="23" t="s">
        <v>49</v>
      </c>
      <c r="F16" s="26" t="n">
        <f aca="false">'MEMORIAL DE CALCULO'!F15</f>
        <v>552.25</v>
      </c>
      <c r="G16" s="40" t="n">
        <v>126.6</v>
      </c>
      <c r="H16" s="37" t="n">
        <f aca="false">F16*G16</f>
        <v>69914.85</v>
      </c>
      <c r="I16" s="38" t="n">
        <v>1.207</v>
      </c>
      <c r="J16" s="37" t="n">
        <f aca="false">ROUND(G16*I16,2)</f>
        <v>152.81</v>
      </c>
      <c r="K16" s="37" t="n">
        <f aca="false">J16*F16</f>
        <v>84389.3225</v>
      </c>
    </row>
    <row r="17" customFormat="false" ht="17.5" hidden="false" customHeight="false" outlineLevel="0" collapsed="false">
      <c r="A17" s="23" t="s">
        <v>50</v>
      </c>
      <c r="B17" s="31" t="s">
        <v>26</v>
      </c>
      <c r="C17" s="23" t="s">
        <v>51</v>
      </c>
      <c r="D17" s="41" t="s">
        <v>52</v>
      </c>
      <c r="E17" s="23" t="s">
        <v>49</v>
      </c>
      <c r="F17" s="36" t="n">
        <f aca="false">'MEMORIAL DE CALCULO'!F19</f>
        <v>552.25</v>
      </c>
      <c r="G17" s="37" t="n">
        <v>30.55</v>
      </c>
      <c r="H17" s="37" t="n">
        <f aca="false">F17*G17</f>
        <v>16871.2375</v>
      </c>
      <c r="I17" s="38" t="n">
        <v>1.207</v>
      </c>
      <c r="J17" s="37" t="n">
        <f aca="false">ROUND(G17*I17,2)</f>
        <v>36.87</v>
      </c>
      <c r="K17" s="37" t="n">
        <f aca="false">J17*F17</f>
        <v>20361.4575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customFormat="false" ht="17.5" hidden="false" customHeight="false" outlineLevel="0" collapsed="false">
      <c r="A18" s="32"/>
      <c r="B18" s="32"/>
      <c r="C18" s="32"/>
      <c r="D18" s="32"/>
      <c r="E18" s="32"/>
      <c r="F18" s="32"/>
      <c r="G18" s="33" t="s">
        <v>53</v>
      </c>
      <c r="H18" s="33"/>
      <c r="I18" s="33"/>
      <c r="J18" s="33"/>
      <c r="K18" s="34" t="n">
        <f aca="false">SUM(K13:K17)</f>
        <v>118878.34</v>
      </c>
      <c r="L18" s="29"/>
      <c r="M18" s="29"/>
      <c r="N18" s="29"/>
      <c r="O18" s="29"/>
      <c r="P18" s="29"/>
    </row>
    <row r="19" customFormat="false" ht="17.5" hidden="false" customHeight="false" outlineLevel="0" collapsed="false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29"/>
      <c r="M19" s="29"/>
      <c r="N19" s="29"/>
      <c r="O19" s="29"/>
      <c r="P19" s="29"/>
    </row>
    <row r="20" customFormat="false" ht="17.5" hidden="false" customHeight="false" outlineLevel="0" collapsed="false">
      <c r="A20" s="20" t="s">
        <v>54</v>
      </c>
      <c r="B20" s="21" t="s">
        <v>55</v>
      </c>
      <c r="C20" s="21"/>
      <c r="D20" s="21"/>
      <c r="E20" s="21"/>
      <c r="F20" s="21"/>
      <c r="G20" s="21"/>
      <c r="H20" s="21"/>
      <c r="I20" s="21"/>
      <c r="J20" s="21"/>
      <c r="K20" s="22"/>
    </row>
    <row r="21" customFormat="false" ht="17.5" hidden="false" customHeight="false" outlineLevel="0" collapsed="false">
      <c r="A21" s="23" t="s">
        <v>56</v>
      </c>
      <c r="B21" s="24" t="s">
        <v>57</v>
      </c>
      <c r="C21" s="23" t="n">
        <v>104790</v>
      </c>
      <c r="D21" s="25" t="s">
        <v>58</v>
      </c>
      <c r="E21" s="23" t="s">
        <v>49</v>
      </c>
      <c r="F21" s="26" t="n">
        <f aca="false">SUM(527+47+120+25+126+53+150)*0.15</f>
        <v>157.2</v>
      </c>
      <c r="G21" s="27" t="n">
        <v>125.04</v>
      </c>
      <c r="H21" s="27" t="n">
        <f aca="false">G21*F21</f>
        <v>19656.288</v>
      </c>
      <c r="I21" s="28" t="n">
        <v>1.207</v>
      </c>
      <c r="J21" s="27" t="n">
        <f aca="false">ROUND(G21*I21,2)</f>
        <v>150.92</v>
      </c>
      <c r="K21" s="27" t="n">
        <f aca="false">J21*F21</f>
        <v>23724.624</v>
      </c>
      <c r="L21" s="29"/>
      <c r="M21" s="29"/>
      <c r="N21" s="29"/>
      <c r="O21" s="29"/>
      <c r="P21" s="2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customFormat="false" ht="21.6" hidden="false" customHeight="false" outlineLevel="0" collapsed="false">
      <c r="A22" s="23" t="s">
        <v>59</v>
      </c>
      <c r="B22" s="31" t="s">
        <v>26</v>
      </c>
      <c r="C22" s="23" t="s">
        <v>47</v>
      </c>
      <c r="D22" s="25" t="s">
        <v>48</v>
      </c>
      <c r="E22" s="23" t="s">
        <v>49</v>
      </c>
      <c r="F22" s="26" t="n">
        <f aca="false">SUM(527+47+120+25+126+53+150)*0.15</f>
        <v>157.2</v>
      </c>
      <c r="G22" s="40" t="n">
        <v>126.6</v>
      </c>
      <c r="H22" s="27" t="n">
        <f aca="false">G22*F22</f>
        <v>19901.52</v>
      </c>
      <c r="I22" s="28" t="n">
        <v>1.207</v>
      </c>
      <c r="J22" s="27" t="n">
        <f aca="false">ROUND(G22*I22,2)</f>
        <v>152.81</v>
      </c>
      <c r="K22" s="27" t="n">
        <f aca="false">J22*F22</f>
        <v>24021.732</v>
      </c>
    </row>
    <row r="23" customFormat="false" ht="17.5" hidden="false" customHeight="false" outlineLevel="0" collapsed="false">
      <c r="A23" s="23" t="s">
        <v>60</v>
      </c>
      <c r="B23" s="31" t="s">
        <v>26</v>
      </c>
      <c r="C23" s="23" t="s">
        <v>51</v>
      </c>
      <c r="D23" s="41" t="s">
        <v>52</v>
      </c>
      <c r="E23" s="23" t="s">
        <v>49</v>
      </c>
      <c r="F23" s="26" t="n">
        <f aca="false">SUM(527+47+120+25+126+53+150)*0.15</f>
        <v>157.2</v>
      </c>
      <c r="G23" s="37" t="n">
        <v>30.55</v>
      </c>
      <c r="H23" s="27" t="n">
        <f aca="false">G23*F23</f>
        <v>4802.46</v>
      </c>
      <c r="I23" s="28" t="n">
        <v>1.207</v>
      </c>
      <c r="J23" s="27" t="n">
        <f aca="false">ROUND(G23*I23,2)</f>
        <v>36.87</v>
      </c>
      <c r="K23" s="27" t="n">
        <f aca="false">J23*F23</f>
        <v>5795.964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customFormat="false" ht="17.5" hidden="false" customHeight="false" outlineLevel="0" collapsed="false">
      <c r="A24" s="23" t="s">
        <v>61</v>
      </c>
      <c r="B24" s="24" t="s">
        <v>57</v>
      </c>
      <c r="C24" s="23" t="n">
        <v>100322</v>
      </c>
      <c r="D24" s="25" t="s">
        <v>62</v>
      </c>
      <c r="E24" s="23" t="s">
        <v>49</v>
      </c>
      <c r="F24" s="26" t="n">
        <f aca="false">(527+47+120+25+126+53+150)*0.03</f>
        <v>31.44</v>
      </c>
      <c r="G24" s="27" t="n">
        <v>159.52</v>
      </c>
      <c r="H24" s="27" t="n">
        <f aca="false">G24*F24</f>
        <v>5015.3088</v>
      </c>
      <c r="I24" s="28" t="n">
        <v>1.207</v>
      </c>
      <c r="J24" s="27" t="n">
        <f aca="false">ROUND(G24*I24,2)</f>
        <v>192.54</v>
      </c>
      <c r="K24" s="27" t="n">
        <f aca="false">J24*F24</f>
        <v>6053.4576</v>
      </c>
      <c r="L24" s="29"/>
      <c r="M24" s="29"/>
      <c r="N24" s="29"/>
      <c r="O24" s="29"/>
      <c r="P24" s="2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customFormat="false" ht="17.5" hidden="false" customHeight="false" outlineLevel="0" collapsed="false">
      <c r="A25" s="23" t="s">
        <v>63</v>
      </c>
      <c r="B25" s="24" t="s">
        <v>64</v>
      </c>
      <c r="C25" s="23" t="n">
        <v>97113</v>
      </c>
      <c r="D25" s="25" t="s">
        <v>65</v>
      </c>
      <c r="E25" s="23" t="s">
        <v>19</v>
      </c>
      <c r="F25" s="26" t="n">
        <f aca="false">527+47+120+25+126+53+150</f>
        <v>1048</v>
      </c>
      <c r="G25" s="27" t="n">
        <v>1.62</v>
      </c>
      <c r="H25" s="27" t="n">
        <f aca="false">G25*F25</f>
        <v>1697.76</v>
      </c>
      <c r="I25" s="28" t="n">
        <v>1.207</v>
      </c>
      <c r="J25" s="27" t="n">
        <f aca="false">ROUND(G25*I25,2)</f>
        <v>1.96</v>
      </c>
      <c r="K25" s="27" t="n">
        <f aca="false">J25*F25</f>
        <v>2054.08</v>
      </c>
      <c r="L25" s="29"/>
      <c r="M25" s="42"/>
      <c r="N25" s="29"/>
      <c r="O25" s="29"/>
      <c r="P25" s="29"/>
    </row>
    <row r="26" customFormat="false" ht="17.5" hidden="false" customHeight="false" outlineLevel="0" collapsed="false">
      <c r="A26" s="23" t="s">
        <v>66</v>
      </c>
      <c r="B26" s="24" t="s">
        <v>57</v>
      </c>
      <c r="C26" s="23" t="n">
        <v>104626</v>
      </c>
      <c r="D26" s="25" t="s">
        <v>67</v>
      </c>
      <c r="E26" s="23" t="s">
        <v>49</v>
      </c>
      <c r="F26" s="26" t="n">
        <f aca="false">F25*0.1</f>
        <v>104.8</v>
      </c>
      <c r="G26" s="27" t="n">
        <v>665.27</v>
      </c>
      <c r="H26" s="27" t="n">
        <f aca="false">G26*F26</f>
        <v>69720.296</v>
      </c>
      <c r="I26" s="28" t="n">
        <v>1.207</v>
      </c>
      <c r="J26" s="27" t="n">
        <f aca="false">ROUND(G26*I26,2)</f>
        <v>802.98</v>
      </c>
      <c r="K26" s="27" t="n">
        <f aca="false">J26*F26</f>
        <v>84152.304</v>
      </c>
      <c r="L26" s="29"/>
      <c r="M26" s="29"/>
      <c r="N26" s="29"/>
      <c r="O26" s="29"/>
      <c r="P26" s="2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customFormat="false" ht="17.5" hidden="false" customHeight="false" outlineLevel="0" collapsed="false">
      <c r="A27" s="23" t="s">
        <v>68</v>
      </c>
      <c r="B27" s="30" t="s">
        <v>21</v>
      </c>
      <c r="C27" s="23" t="s">
        <v>69</v>
      </c>
      <c r="D27" s="25" t="s">
        <v>70</v>
      </c>
      <c r="E27" s="23" t="s">
        <v>19</v>
      </c>
      <c r="F27" s="26" t="n">
        <f aca="false">F25</f>
        <v>1048</v>
      </c>
      <c r="G27" s="27" t="n">
        <f aca="false">17.2/1.23</f>
        <v>13.9837398373984</v>
      </c>
      <c r="H27" s="27" t="n">
        <f aca="false">G27*F27</f>
        <v>14654.9593495935</v>
      </c>
      <c r="I27" s="28" t="n">
        <v>1.207</v>
      </c>
      <c r="J27" s="27" t="n">
        <f aca="false">ROUND(G27*I27,2)</f>
        <v>16.88</v>
      </c>
      <c r="K27" s="27" t="n">
        <f aca="false">J27*F27</f>
        <v>17690.24</v>
      </c>
      <c r="L27" s="29"/>
      <c r="M27" s="29"/>
      <c r="N27" s="29"/>
      <c r="O27" s="29"/>
      <c r="P27" s="2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customFormat="false" ht="17.5" hidden="false" customHeight="false" outlineLevel="0" collapsed="false">
      <c r="A28" s="32"/>
      <c r="B28" s="32"/>
      <c r="C28" s="32"/>
      <c r="D28" s="32"/>
      <c r="E28" s="32"/>
      <c r="F28" s="32"/>
      <c r="G28" s="33" t="s">
        <v>71</v>
      </c>
      <c r="H28" s="33"/>
      <c r="I28" s="33"/>
      <c r="J28" s="33"/>
      <c r="K28" s="34" t="n">
        <f aca="false">SUM(K21:K27)</f>
        <v>163492.4016</v>
      </c>
      <c r="L28" s="29"/>
      <c r="M28" s="29"/>
      <c r="N28" s="29"/>
      <c r="O28" s="29"/>
      <c r="P28" s="29"/>
    </row>
    <row r="29" customFormat="false" ht="17.5" hidden="false" customHeight="false" outlineLevel="0" collapsed="false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29"/>
      <c r="M29" s="29"/>
      <c r="N29" s="29"/>
      <c r="O29" s="29"/>
      <c r="P29" s="29"/>
    </row>
    <row r="30" customFormat="false" ht="17.5" hidden="false" customHeight="false" outlineLevel="0" collapsed="false">
      <c r="A30" s="20" t="s">
        <v>72</v>
      </c>
      <c r="B30" s="21" t="s">
        <v>73</v>
      </c>
      <c r="C30" s="21"/>
      <c r="D30" s="21"/>
      <c r="E30" s="21"/>
      <c r="F30" s="21"/>
      <c r="G30" s="21"/>
      <c r="H30" s="21"/>
      <c r="I30" s="21"/>
      <c r="J30" s="21"/>
      <c r="K30" s="22"/>
    </row>
    <row r="31" customFormat="false" ht="17.5" hidden="false" customHeight="false" outlineLevel="0" collapsed="false">
      <c r="A31" s="23" t="s">
        <v>74</v>
      </c>
      <c r="B31" s="31" t="s">
        <v>26</v>
      </c>
      <c r="C31" s="23" t="s">
        <v>75</v>
      </c>
      <c r="D31" s="41" t="s">
        <v>76</v>
      </c>
      <c r="E31" s="23" t="s">
        <v>19</v>
      </c>
      <c r="F31" s="36" t="n">
        <f aca="false">1153+148+1266</f>
        <v>2567</v>
      </c>
      <c r="G31" s="37" t="n">
        <v>0.86</v>
      </c>
      <c r="H31" s="37" t="n">
        <f aca="false">F31*G31</f>
        <v>2207.62</v>
      </c>
      <c r="I31" s="38" t="n">
        <v>1.207</v>
      </c>
      <c r="J31" s="37" t="n">
        <f aca="false">ROUND(G31*I31,2)</f>
        <v>1.04</v>
      </c>
      <c r="K31" s="37" t="n">
        <f aca="false">J31*F31</f>
        <v>2669.68</v>
      </c>
    </row>
    <row r="32" customFormat="false" ht="17.5" hidden="false" customHeight="false" outlineLevel="0" collapsed="false">
      <c r="A32" s="23" t="s">
        <v>77</v>
      </c>
      <c r="B32" s="31" t="s">
        <v>26</v>
      </c>
      <c r="C32" s="23" t="s">
        <v>78</v>
      </c>
      <c r="D32" s="41" t="s">
        <v>79</v>
      </c>
      <c r="E32" s="23" t="s">
        <v>19</v>
      </c>
      <c r="F32" s="36" t="n">
        <f aca="false">1153+148+1266</f>
        <v>2567</v>
      </c>
      <c r="G32" s="37" t="n">
        <v>6.47</v>
      </c>
      <c r="H32" s="37" t="n">
        <f aca="false">F32*G32</f>
        <v>16608.49</v>
      </c>
      <c r="I32" s="38" t="n">
        <v>1.207</v>
      </c>
      <c r="J32" s="37" t="n">
        <f aca="false">ROUND(G32*I32,2)</f>
        <v>7.81</v>
      </c>
      <c r="K32" s="37" t="n">
        <f aca="false">J32*F32</f>
        <v>20048.27</v>
      </c>
    </row>
    <row r="33" customFormat="false" ht="17.5" hidden="false" customHeight="false" outlineLevel="0" collapsed="false">
      <c r="A33" s="23" t="s">
        <v>80</v>
      </c>
      <c r="B33" s="24" t="s">
        <v>57</v>
      </c>
      <c r="C33" s="23" t="n">
        <v>95995</v>
      </c>
      <c r="D33" s="41" t="s">
        <v>81</v>
      </c>
      <c r="E33" s="23" t="s">
        <v>49</v>
      </c>
      <c r="F33" s="36" t="n">
        <f aca="false">(1153+148)*0.03+(1266/2)*0.03</f>
        <v>58.02</v>
      </c>
      <c r="G33" s="37" t="n">
        <v>1438.17</v>
      </c>
      <c r="H33" s="37" t="n">
        <f aca="false">F33*G33</f>
        <v>83442.6234</v>
      </c>
      <c r="I33" s="38" t="n">
        <v>1.207</v>
      </c>
      <c r="J33" s="37" t="n">
        <f aca="false">ROUND(G33*I33,2)</f>
        <v>1735.87</v>
      </c>
      <c r="K33" s="37" t="n">
        <f aca="false">J33*F33</f>
        <v>100715.1774</v>
      </c>
    </row>
    <row r="34" customFormat="false" ht="17.5" hidden="false" customHeight="false" outlineLevel="0" collapsed="false">
      <c r="A34" s="23" t="s">
        <v>82</v>
      </c>
      <c r="B34" s="24" t="s">
        <v>57</v>
      </c>
      <c r="C34" s="23" t="n">
        <v>93590</v>
      </c>
      <c r="D34" s="41" t="s">
        <v>83</v>
      </c>
      <c r="E34" s="23" t="s">
        <v>84</v>
      </c>
      <c r="F34" s="36" t="n">
        <f aca="false">F33*100</f>
        <v>5802</v>
      </c>
      <c r="G34" s="37" t="n">
        <v>1.02</v>
      </c>
      <c r="H34" s="37" t="n">
        <f aca="false">F34*G34</f>
        <v>5918.04</v>
      </c>
      <c r="I34" s="38" t="n">
        <v>1.207</v>
      </c>
      <c r="J34" s="37" t="n">
        <f aca="false">ROUND(G34*I34,2)</f>
        <v>1.23</v>
      </c>
      <c r="K34" s="37" t="n">
        <f aca="false">J34*F34</f>
        <v>7136.46</v>
      </c>
    </row>
    <row r="35" customFormat="false" ht="17.5" hidden="false" customHeight="false" outlineLevel="0" collapsed="false">
      <c r="A35" s="23" t="s">
        <v>85</v>
      </c>
      <c r="B35" s="24" t="s">
        <v>57</v>
      </c>
      <c r="C35" s="23" t="n">
        <v>100986</v>
      </c>
      <c r="D35" s="41" t="s">
        <v>86</v>
      </c>
      <c r="E35" s="23" t="s">
        <v>49</v>
      </c>
      <c r="F35" s="36" t="n">
        <f aca="false">F33</f>
        <v>58.02</v>
      </c>
      <c r="G35" s="37" t="n">
        <v>9.44</v>
      </c>
      <c r="H35" s="37" t="n">
        <f aca="false">F35*G35</f>
        <v>547.7088</v>
      </c>
      <c r="I35" s="38" t="n">
        <v>1.207</v>
      </c>
      <c r="J35" s="37" t="n">
        <f aca="false">ROUND(G35*I35,2)</f>
        <v>11.39</v>
      </c>
      <c r="K35" s="37" t="n">
        <f aca="false">J35*F35</f>
        <v>660.8478</v>
      </c>
    </row>
    <row r="36" customFormat="false" ht="17.5" hidden="false" customHeight="false" outlineLevel="0" collapsed="false">
      <c r="A36" s="32"/>
      <c r="B36" s="32"/>
      <c r="C36" s="32"/>
      <c r="D36" s="32"/>
      <c r="E36" s="32"/>
      <c r="F36" s="32"/>
      <c r="G36" s="33" t="s">
        <v>87</v>
      </c>
      <c r="H36" s="33"/>
      <c r="I36" s="33"/>
      <c r="J36" s="33"/>
      <c r="K36" s="34" t="n">
        <f aca="false">SUM(K31:K35)</f>
        <v>131230.4352</v>
      </c>
      <c r="L36" s="29"/>
      <c r="M36" s="29"/>
      <c r="N36" s="29"/>
      <c r="O36" s="29"/>
      <c r="P36" s="29"/>
    </row>
    <row r="37" customFormat="false" ht="17.5" hidden="false" customHeight="false" outlineLevel="0" collapsed="false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29"/>
      <c r="M37" s="29"/>
      <c r="N37" s="29"/>
      <c r="O37" s="29"/>
      <c r="P37" s="29"/>
    </row>
    <row r="38" customFormat="false" ht="17.5" hidden="false" customHeight="false" outlineLevel="0" collapsed="false">
      <c r="A38" s="20" t="s">
        <v>88</v>
      </c>
      <c r="B38" s="21" t="s">
        <v>89</v>
      </c>
      <c r="C38" s="21"/>
      <c r="D38" s="21"/>
      <c r="E38" s="21"/>
      <c r="F38" s="21"/>
      <c r="G38" s="21"/>
      <c r="H38" s="21"/>
      <c r="I38" s="21"/>
      <c r="J38" s="21"/>
      <c r="K38" s="22"/>
    </row>
    <row r="39" customFormat="false" ht="21.6" hidden="false" customHeight="false" outlineLevel="0" collapsed="false">
      <c r="A39" s="23" t="s">
        <v>90</v>
      </c>
      <c r="B39" s="24" t="s">
        <v>57</v>
      </c>
      <c r="C39" s="23" t="n">
        <v>94304</v>
      </c>
      <c r="D39" s="41" t="s">
        <v>91</v>
      </c>
      <c r="E39" s="23" t="s">
        <v>49</v>
      </c>
      <c r="F39" s="36" t="n">
        <v>24.95</v>
      </c>
      <c r="G39" s="37" t="n">
        <v>76.77</v>
      </c>
      <c r="H39" s="37" t="n">
        <f aca="false">F39*G39</f>
        <v>1915.4115</v>
      </c>
      <c r="I39" s="38" t="n">
        <v>1.207</v>
      </c>
      <c r="J39" s="37" t="n">
        <f aca="false">ROUND(G39*I39,2)</f>
        <v>92.66</v>
      </c>
      <c r="K39" s="37" t="n">
        <f aca="false">J39*F39</f>
        <v>2311.867</v>
      </c>
    </row>
    <row r="40" customFormat="false" ht="17.5" hidden="false" customHeight="false" outlineLevel="0" collapsed="false">
      <c r="A40" s="23" t="s">
        <v>92</v>
      </c>
      <c r="B40" s="24" t="s">
        <v>57</v>
      </c>
      <c r="C40" s="23" t="n">
        <v>98504</v>
      </c>
      <c r="D40" s="41" t="s">
        <v>93</v>
      </c>
      <c r="E40" s="23" t="s">
        <v>19</v>
      </c>
      <c r="F40" s="36" t="n">
        <v>243.98</v>
      </c>
      <c r="G40" s="37" t="n">
        <v>16.97</v>
      </c>
      <c r="H40" s="37" t="n">
        <f aca="false">F40*G40</f>
        <v>4140.3406</v>
      </c>
      <c r="I40" s="38" t="n">
        <v>1.207</v>
      </c>
      <c r="J40" s="37" t="n">
        <f aca="false">ROUND(G40*I40,2)</f>
        <v>20.48</v>
      </c>
      <c r="K40" s="37" t="n">
        <f aca="false">J40*F40</f>
        <v>4996.7104</v>
      </c>
    </row>
    <row r="41" customFormat="false" ht="17.5" hidden="false" customHeight="false" outlineLevel="0" collapsed="false">
      <c r="A41" s="32"/>
      <c r="B41" s="32"/>
      <c r="C41" s="32"/>
      <c r="D41" s="32"/>
      <c r="E41" s="32"/>
      <c r="F41" s="32"/>
      <c r="G41" s="33" t="s">
        <v>94</v>
      </c>
      <c r="H41" s="33"/>
      <c r="I41" s="33"/>
      <c r="J41" s="33"/>
      <c r="K41" s="34" t="n">
        <f aca="false">SUM(K39:K40)</f>
        <v>7308.5774</v>
      </c>
      <c r="L41" s="29"/>
      <c r="M41" s="29"/>
      <c r="N41" s="29"/>
      <c r="O41" s="29"/>
      <c r="P41" s="29"/>
    </row>
    <row r="42" customFormat="false" ht="17.5" hidden="false" customHeight="false" outlineLevel="0" collapsed="false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29"/>
      <c r="M42" s="29"/>
      <c r="N42" s="29"/>
      <c r="O42" s="29"/>
      <c r="P42" s="29"/>
    </row>
    <row r="43" customFormat="false" ht="17.5" hidden="false" customHeight="false" outlineLevel="0" collapsed="false">
      <c r="A43" s="20" t="s">
        <v>95</v>
      </c>
      <c r="B43" s="21" t="s">
        <v>96</v>
      </c>
      <c r="C43" s="21"/>
      <c r="D43" s="21"/>
      <c r="E43" s="21"/>
      <c r="F43" s="21"/>
      <c r="G43" s="21"/>
      <c r="H43" s="21"/>
      <c r="I43" s="21"/>
      <c r="J43" s="21"/>
      <c r="K43" s="22"/>
    </row>
    <row r="44" customFormat="false" ht="17.5" hidden="false" customHeight="false" outlineLevel="0" collapsed="false">
      <c r="A44" s="43" t="s">
        <v>97</v>
      </c>
      <c r="B44" s="43"/>
      <c r="C44" s="43"/>
      <c r="D44" s="43"/>
      <c r="E44" s="43"/>
      <c r="F44" s="43"/>
      <c r="G44" s="43"/>
      <c r="H44" s="43"/>
      <c r="I44" s="43"/>
      <c r="J44" s="43"/>
      <c r="K44" s="44" t="n">
        <f aca="false">SUM(K45:K53)</f>
        <v>7501.4903086</v>
      </c>
      <c r="L44" s="29"/>
      <c r="M44" s="29"/>
      <c r="N44" s="29"/>
      <c r="O44" s="29"/>
      <c r="P44" s="29"/>
    </row>
    <row r="45" customFormat="false" ht="17.5" hidden="false" customHeight="false" outlineLevel="0" collapsed="false">
      <c r="A45" s="23" t="s">
        <v>98</v>
      </c>
      <c r="B45" s="45" t="s">
        <v>21</v>
      </c>
      <c r="C45" s="23" t="s">
        <v>99</v>
      </c>
      <c r="D45" s="25" t="s">
        <v>100</v>
      </c>
      <c r="E45" s="23" t="s">
        <v>24</v>
      </c>
      <c r="F45" s="26" t="n">
        <f aca="false">'MEMORIAL DE CALCULO'!F44</f>
        <v>32</v>
      </c>
      <c r="G45" s="27" t="n">
        <f aca="false">78.35/1.23</f>
        <v>63.6991869918699</v>
      </c>
      <c r="H45" s="27" t="n">
        <f aca="false">G45*F45</f>
        <v>2038.37398373984</v>
      </c>
      <c r="I45" s="28" t="n">
        <v>1.207</v>
      </c>
      <c r="J45" s="27" t="n">
        <f aca="false">ROUND(G45*I45,2)</f>
        <v>76.88</v>
      </c>
      <c r="K45" s="27" t="n">
        <f aca="false">J45*F45</f>
        <v>2460.16</v>
      </c>
      <c r="L45" s="29"/>
      <c r="M45" s="29"/>
      <c r="N45" s="29"/>
      <c r="O45" s="29"/>
      <c r="P45" s="29"/>
    </row>
    <row r="46" customFormat="false" ht="17.5" hidden="false" customHeight="false" outlineLevel="0" collapsed="false">
      <c r="A46" s="23" t="s">
        <v>101</v>
      </c>
      <c r="B46" s="24" t="s">
        <v>57</v>
      </c>
      <c r="C46" s="23" t="n">
        <v>92800</v>
      </c>
      <c r="D46" s="25" t="s">
        <v>102</v>
      </c>
      <c r="E46" s="23" t="s">
        <v>103</v>
      </c>
      <c r="F46" s="26" t="n">
        <f aca="false">'MEMORIAL DE CALCULO'!F49</f>
        <v>34.1674666666667</v>
      </c>
      <c r="G46" s="27" t="n">
        <v>9.99</v>
      </c>
      <c r="H46" s="27" t="n">
        <f aca="false">G46*F46</f>
        <v>341.332992</v>
      </c>
      <c r="I46" s="28" t="n">
        <v>1.207</v>
      </c>
      <c r="J46" s="27" t="n">
        <f aca="false">ROUND(G46*I46,2)</f>
        <v>12.06</v>
      </c>
      <c r="K46" s="27" t="n">
        <f aca="false">J46*F46</f>
        <v>412.059648</v>
      </c>
      <c r="L46" s="29"/>
      <c r="M46" s="29"/>
      <c r="N46" s="29"/>
      <c r="O46" s="29"/>
      <c r="P46" s="29"/>
    </row>
    <row r="47" customFormat="false" ht="17.5" hidden="false" customHeight="false" outlineLevel="0" collapsed="false">
      <c r="A47" s="23" t="s">
        <v>104</v>
      </c>
      <c r="B47" s="24" t="s">
        <v>57</v>
      </c>
      <c r="C47" s="23" t="n">
        <v>92803</v>
      </c>
      <c r="D47" s="25" t="s">
        <v>105</v>
      </c>
      <c r="E47" s="23" t="s">
        <v>103</v>
      </c>
      <c r="F47" s="26" t="n">
        <f aca="false">'MEMORIAL DE CALCULO'!F55</f>
        <v>78.976</v>
      </c>
      <c r="G47" s="27" t="n">
        <v>8.85</v>
      </c>
      <c r="H47" s="27" t="n">
        <f aca="false">G47*F47</f>
        <v>698.9376</v>
      </c>
      <c r="I47" s="28" t="n">
        <v>1.207</v>
      </c>
      <c r="J47" s="27" t="n">
        <f aca="false">ROUND(G47*I47,2)</f>
        <v>10.68</v>
      </c>
      <c r="K47" s="27" t="n">
        <f aca="false">J47*F47</f>
        <v>843.46368</v>
      </c>
      <c r="L47" s="29"/>
      <c r="M47" s="29"/>
      <c r="N47" s="29"/>
      <c r="O47" s="29"/>
      <c r="P47" s="2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customFormat="false" ht="17.5" hidden="false" customHeight="false" outlineLevel="0" collapsed="false">
      <c r="A48" s="23" t="s">
        <v>106</v>
      </c>
      <c r="B48" s="24" t="s">
        <v>57</v>
      </c>
      <c r="C48" s="23" t="n">
        <v>96526</v>
      </c>
      <c r="D48" s="25" t="s">
        <v>107</v>
      </c>
      <c r="E48" s="23" t="s">
        <v>49</v>
      </c>
      <c r="F48" s="26" t="n">
        <f aca="false">'MEMORIAL DE CALCULO'!F59</f>
        <v>1.608</v>
      </c>
      <c r="G48" s="27" t="n">
        <v>266.21</v>
      </c>
      <c r="H48" s="27" t="n">
        <f aca="false">G48*F48</f>
        <v>428.06568</v>
      </c>
      <c r="I48" s="28" t="n">
        <v>1.207</v>
      </c>
      <c r="J48" s="27" t="n">
        <f aca="false">ROUND(G48*I48,2)</f>
        <v>321.32</v>
      </c>
      <c r="K48" s="27" t="n">
        <f aca="false">J48*F48</f>
        <v>516.68256</v>
      </c>
      <c r="L48" s="29"/>
      <c r="M48" s="29"/>
      <c r="N48" s="29"/>
      <c r="O48" s="29"/>
      <c r="P48" s="29"/>
    </row>
    <row r="49" customFormat="false" ht="17.5" hidden="false" customHeight="false" outlineLevel="0" collapsed="false">
      <c r="A49" s="23" t="s">
        <v>108</v>
      </c>
      <c r="B49" s="24" t="s">
        <v>57</v>
      </c>
      <c r="C49" s="23" t="n">
        <v>101619</v>
      </c>
      <c r="D49" s="25" t="s">
        <v>109</v>
      </c>
      <c r="E49" s="23" t="s">
        <v>49</v>
      </c>
      <c r="F49" s="26" t="n">
        <f aca="false">'MEMORIAL DE CALCULO'!F63</f>
        <v>0.04824</v>
      </c>
      <c r="G49" s="27" t="n">
        <v>297.56</v>
      </c>
      <c r="H49" s="27" t="n">
        <f aca="false">G49*F49</f>
        <v>14.3542944</v>
      </c>
      <c r="I49" s="28" t="n">
        <v>1.207</v>
      </c>
      <c r="J49" s="27" t="n">
        <f aca="false">ROUND(G49*I49,2)</f>
        <v>359.15</v>
      </c>
      <c r="K49" s="27" t="n">
        <f aca="false">J49*F49</f>
        <v>17.325396</v>
      </c>
      <c r="L49" s="29"/>
      <c r="M49" s="29"/>
      <c r="N49" s="29"/>
      <c r="O49" s="29"/>
      <c r="P49" s="29"/>
      <c r="XEW49" s="46"/>
      <c r="XEX49" s="46"/>
      <c r="XEY49" s="46"/>
      <c r="XEZ49" s="46"/>
      <c r="XFA49" s="46"/>
      <c r="XFB49" s="46"/>
      <c r="XFC49" s="46"/>
      <c r="XFD49" s="46"/>
    </row>
    <row r="50" customFormat="false" ht="17.5" hidden="false" customHeight="false" outlineLevel="0" collapsed="false">
      <c r="A50" s="23" t="s">
        <v>110</v>
      </c>
      <c r="B50" s="24" t="s">
        <v>57</v>
      </c>
      <c r="C50" s="23" t="n">
        <v>92800</v>
      </c>
      <c r="D50" s="25" t="s">
        <v>102</v>
      </c>
      <c r="E50" s="23" t="s">
        <v>103</v>
      </c>
      <c r="F50" s="26" t="n">
        <f aca="false">'MEMORIAL DE CALCULO'!F65</f>
        <v>19.81056</v>
      </c>
      <c r="G50" s="27" t="n">
        <v>9.99</v>
      </c>
      <c r="H50" s="27" t="n">
        <f aca="false">G50*F50</f>
        <v>197.9074944</v>
      </c>
      <c r="I50" s="28" t="n">
        <v>1.207</v>
      </c>
      <c r="J50" s="27" t="n">
        <f aca="false">ROUND(G50*I50,2)</f>
        <v>12.06</v>
      </c>
      <c r="K50" s="27" t="n">
        <f aca="false">J50*F50</f>
        <v>238.9153536</v>
      </c>
      <c r="L50" s="29"/>
      <c r="M50" s="29"/>
      <c r="N50" s="29"/>
      <c r="O50" s="29"/>
      <c r="P50" s="29"/>
    </row>
    <row r="51" customFormat="false" ht="17.5" hidden="false" customHeight="false" outlineLevel="0" collapsed="false">
      <c r="A51" s="23" t="s">
        <v>111</v>
      </c>
      <c r="B51" s="24" t="s">
        <v>57</v>
      </c>
      <c r="C51" s="23" t="n">
        <v>92803</v>
      </c>
      <c r="D51" s="25" t="s">
        <v>105</v>
      </c>
      <c r="E51" s="23" t="s">
        <v>103</v>
      </c>
      <c r="F51" s="26" t="n">
        <f aca="false">'MEMORIAL DE CALCULO'!F70</f>
        <v>33.0712</v>
      </c>
      <c r="G51" s="27" t="n">
        <v>8.85</v>
      </c>
      <c r="H51" s="27" t="n">
        <f aca="false">G51*F51</f>
        <v>292.68012</v>
      </c>
      <c r="I51" s="28" t="n">
        <v>1.207</v>
      </c>
      <c r="J51" s="27" t="n">
        <f aca="false">ROUND(G51*I51,2)</f>
        <v>10.68</v>
      </c>
      <c r="K51" s="27" t="n">
        <f aca="false">J51*F51</f>
        <v>353.200416</v>
      </c>
      <c r="L51" s="29"/>
      <c r="M51" s="29"/>
      <c r="N51" s="29"/>
      <c r="O51" s="29"/>
      <c r="P51" s="2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customFormat="false" ht="17.5" hidden="false" customHeight="false" outlineLevel="0" collapsed="false">
      <c r="A52" s="23" t="s">
        <v>112</v>
      </c>
      <c r="B52" s="47" t="s">
        <v>57</v>
      </c>
      <c r="C52" s="48" t="n">
        <v>96557</v>
      </c>
      <c r="D52" s="49" t="s">
        <v>113</v>
      </c>
      <c r="E52" s="48" t="s">
        <v>49</v>
      </c>
      <c r="F52" s="50" t="n">
        <f aca="false">'MEMORIAL DE CALCULO'!F74</f>
        <v>1.608</v>
      </c>
      <c r="G52" s="51" t="n">
        <v>619.17</v>
      </c>
      <c r="H52" s="27" t="n">
        <f aca="false">G52*F52</f>
        <v>995.62536</v>
      </c>
      <c r="I52" s="28" t="n">
        <v>1.207</v>
      </c>
      <c r="J52" s="27" t="n">
        <f aca="false">ROUND(G52*I52,2)</f>
        <v>747.34</v>
      </c>
      <c r="K52" s="27" t="n">
        <f aca="false">J52*F52</f>
        <v>1201.72272</v>
      </c>
      <c r="L52" s="52"/>
      <c r="M52" s="52"/>
      <c r="N52" s="52"/>
      <c r="O52" s="52"/>
      <c r="P52" s="52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</row>
    <row r="53" customFormat="false" ht="17.5" hidden="false" customHeight="false" outlineLevel="0" collapsed="false">
      <c r="A53" s="23" t="s">
        <v>114</v>
      </c>
      <c r="B53" s="24" t="s">
        <v>57</v>
      </c>
      <c r="C53" s="23" t="n">
        <v>101165</v>
      </c>
      <c r="D53" s="25" t="s">
        <v>115</v>
      </c>
      <c r="E53" s="23" t="s">
        <v>49</v>
      </c>
      <c r="F53" s="26" t="n">
        <f aca="false">'MEMORIAL DE CALCULO'!F75</f>
        <v>1.1457</v>
      </c>
      <c r="G53" s="27" t="n">
        <v>1054.31</v>
      </c>
      <c r="H53" s="27" t="n">
        <f aca="false">G53*F53</f>
        <v>1207.922967</v>
      </c>
      <c r="I53" s="28" t="n">
        <v>1.207</v>
      </c>
      <c r="J53" s="27" t="n">
        <f aca="false">ROUND(G53*I53,2)</f>
        <v>1272.55</v>
      </c>
      <c r="K53" s="27" t="n">
        <f aca="false">J53*F53</f>
        <v>1457.960535</v>
      </c>
      <c r="L53" s="29"/>
      <c r="M53" s="29"/>
      <c r="N53" s="29"/>
      <c r="O53" s="29"/>
      <c r="P53" s="29"/>
    </row>
    <row r="54" customFormat="false" ht="17.5" hidden="false" customHeight="false" outlineLevel="0" collapsed="false">
      <c r="A54" s="43" t="s">
        <v>116</v>
      </c>
      <c r="B54" s="43"/>
      <c r="C54" s="43"/>
      <c r="D54" s="43"/>
      <c r="E54" s="43"/>
      <c r="F54" s="43"/>
      <c r="G54" s="43"/>
      <c r="H54" s="43"/>
      <c r="I54" s="43"/>
      <c r="J54" s="43"/>
      <c r="K54" s="44" t="n">
        <f aca="false">SUM(K55:K66)</f>
        <v>19673.7603</v>
      </c>
      <c r="L54" s="29"/>
      <c r="M54" s="29"/>
      <c r="N54" s="29"/>
      <c r="O54" s="29"/>
      <c r="P54" s="29"/>
    </row>
    <row r="55" customFormat="false" ht="21.6" hidden="false" customHeight="false" outlineLevel="0" collapsed="false">
      <c r="A55" s="23" t="s">
        <v>117</v>
      </c>
      <c r="B55" s="24" t="s">
        <v>57</v>
      </c>
      <c r="C55" s="23" t="n">
        <v>92415</v>
      </c>
      <c r="D55" s="25" t="s">
        <v>118</v>
      </c>
      <c r="E55" s="23" t="s">
        <v>19</v>
      </c>
      <c r="F55" s="26" t="n">
        <f aca="false">'MEMORIAL DE CALCULO'!F79</f>
        <v>20</v>
      </c>
      <c r="G55" s="27" t="n">
        <v>143.18</v>
      </c>
      <c r="H55" s="27" t="n">
        <f aca="false">G55*F55</f>
        <v>2863.6</v>
      </c>
      <c r="I55" s="28" t="n">
        <v>1.207</v>
      </c>
      <c r="J55" s="27" t="n">
        <f aca="false">ROUND(G55*I55,2)</f>
        <v>172.82</v>
      </c>
      <c r="K55" s="27" t="n">
        <f aca="false">J55*F55</f>
        <v>3456.4</v>
      </c>
      <c r="L55" s="29"/>
      <c r="M55" s="29"/>
      <c r="N55" s="29"/>
      <c r="O55" s="29"/>
      <c r="P55" s="2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customFormat="false" ht="17.5" hidden="false" customHeight="false" outlineLevel="0" collapsed="false">
      <c r="A56" s="23" t="s">
        <v>119</v>
      </c>
      <c r="B56" s="24" t="s">
        <v>57</v>
      </c>
      <c r="C56" s="23" t="n">
        <v>92800</v>
      </c>
      <c r="D56" s="25" t="s">
        <v>102</v>
      </c>
      <c r="E56" s="23" t="s">
        <v>103</v>
      </c>
      <c r="F56" s="26" t="n">
        <f aca="false">'MEMORIAL DE CALCULO'!F84</f>
        <v>42.7093333333333</v>
      </c>
      <c r="G56" s="27" t="n">
        <v>9.99</v>
      </c>
      <c r="H56" s="27" t="n">
        <f aca="false">G56*F56</f>
        <v>426.66624</v>
      </c>
      <c r="I56" s="28" t="n">
        <v>1.207</v>
      </c>
      <c r="J56" s="27" t="n">
        <f aca="false">ROUND(G56*I56,2)</f>
        <v>12.06</v>
      </c>
      <c r="K56" s="27" t="n">
        <f aca="false">J56*F56</f>
        <v>515.07456</v>
      </c>
      <c r="L56" s="29"/>
      <c r="M56" s="29"/>
      <c r="N56" s="29"/>
      <c r="O56" s="29"/>
      <c r="P56" s="29"/>
    </row>
    <row r="57" customFormat="false" ht="17.5" hidden="false" customHeight="false" outlineLevel="0" collapsed="false">
      <c r="A57" s="23" t="s">
        <v>120</v>
      </c>
      <c r="B57" s="24" t="s">
        <v>57</v>
      </c>
      <c r="C57" s="23" t="n">
        <v>92803</v>
      </c>
      <c r="D57" s="25" t="s">
        <v>105</v>
      </c>
      <c r="E57" s="23" t="s">
        <v>103</v>
      </c>
      <c r="F57" s="26" t="n">
        <f aca="false">'MEMORIAL DE CALCULO'!F89</f>
        <v>98.72</v>
      </c>
      <c r="G57" s="27" t="n">
        <v>8.85</v>
      </c>
      <c r="H57" s="27" t="n">
        <f aca="false">G57*F57</f>
        <v>873.672</v>
      </c>
      <c r="I57" s="28" t="n">
        <v>1.207</v>
      </c>
      <c r="J57" s="27" t="n">
        <f aca="false">ROUND(G57*I57,2)</f>
        <v>10.68</v>
      </c>
      <c r="K57" s="27" t="n">
        <f aca="false">J57*F57</f>
        <v>1054.3296</v>
      </c>
      <c r="L57" s="29"/>
      <c r="M57" s="29"/>
      <c r="N57" s="29"/>
      <c r="O57" s="29"/>
      <c r="P57" s="2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customFormat="false" ht="17.5" hidden="false" customHeight="false" outlineLevel="0" collapsed="false">
      <c r="A58" s="23" t="s">
        <v>121</v>
      </c>
      <c r="B58" s="24" t="s">
        <v>57</v>
      </c>
      <c r="C58" s="23" t="n">
        <v>103672</v>
      </c>
      <c r="D58" s="25" t="s">
        <v>122</v>
      </c>
      <c r="E58" s="23" t="s">
        <v>49</v>
      </c>
      <c r="F58" s="26" t="n">
        <f aca="false">'MEMORIAL DE CALCULO'!F93</f>
        <v>2.5</v>
      </c>
      <c r="G58" s="27" t="n">
        <v>570.59</v>
      </c>
      <c r="H58" s="27" t="n">
        <f aca="false">G58*F58</f>
        <v>1426.475</v>
      </c>
      <c r="I58" s="28" t="n">
        <v>1.207</v>
      </c>
      <c r="J58" s="27" t="n">
        <f aca="false">ROUND(G58*I58,2)</f>
        <v>688.7</v>
      </c>
      <c r="K58" s="27" t="n">
        <f aca="false">J58*F58</f>
        <v>1721.75</v>
      </c>
      <c r="L58" s="29"/>
      <c r="M58" s="29"/>
      <c r="N58" s="29"/>
      <c r="O58" s="29"/>
      <c r="P58" s="29"/>
    </row>
    <row r="59" customFormat="false" ht="21.6" hidden="false" customHeight="false" outlineLevel="0" collapsed="false">
      <c r="A59" s="23" t="s">
        <v>123</v>
      </c>
      <c r="B59" s="24" t="s">
        <v>57</v>
      </c>
      <c r="C59" s="23" t="n">
        <v>103324</v>
      </c>
      <c r="D59" s="25" t="s">
        <v>124</v>
      </c>
      <c r="E59" s="23" t="s">
        <v>19</v>
      </c>
      <c r="F59" s="26" t="n">
        <f aca="false">'MEMORIAL DE CALCULO'!F94</f>
        <v>48.8</v>
      </c>
      <c r="G59" s="27" t="n">
        <v>83.86</v>
      </c>
      <c r="H59" s="27" t="n">
        <f aca="false">G59*F59</f>
        <v>4092.368</v>
      </c>
      <c r="I59" s="28" t="n">
        <v>1.207</v>
      </c>
      <c r="J59" s="27" t="n">
        <f aca="false">ROUND(G59*I59,2)</f>
        <v>101.22</v>
      </c>
      <c r="K59" s="27" t="n">
        <f aca="false">J59*F59</f>
        <v>4939.536</v>
      </c>
      <c r="L59" s="29"/>
      <c r="M59" s="29"/>
      <c r="N59" s="29"/>
      <c r="O59" s="29"/>
      <c r="P59" s="29"/>
    </row>
    <row r="60" customFormat="false" ht="17.5" hidden="false" customHeight="false" outlineLevel="0" collapsed="false">
      <c r="A60" s="23" t="s">
        <v>125</v>
      </c>
      <c r="B60" s="45" t="s">
        <v>21</v>
      </c>
      <c r="C60" s="54" t="s">
        <v>126</v>
      </c>
      <c r="D60" s="25" t="s">
        <v>127</v>
      </c>
      <c r="E60" s="23" t="s">
        <v>24</v>
      </c>
      <c r="F60" s="26" t="n">
        <f aca="false">'MEMORIAL DE CALCULO'!F100</f>
        <v>5.2</v>
      </c>
      <c r="G60" s="27" t="n">
        <f aca="false">43.19/1.23</f>
        <v>35.1138211382114</v>
      </c>
      <c r="H60" s="27" t="n">
        <f aca="false">G60*F60</f>
        <v>182.591869918699</v>
      </c>
      <c r="I60" s="28" t="n">
        <v>1.207</v>
      </c>
      <c r="J60" s="27" t="n">
        <f aca="false">ROUND(G60*I60,2)</f>
        <v>42.38</v>
      </c>
      <c r="K60" s="27" t="n">
        <f aca="false">J60*F60</f>
        <v>220.376</v>
      </c>
      <c r="L60" s="29"/>
      <c r="M60" s="29"/>
      <c r="N60" s="29"/>
      <c r="O60" s="29"/>
      <c r="P60" s="29"/>
    </row>
    <row r="61" customFormat="false" ht="21.6" hidden="false" customHeight="false" outlineLevel="0" collapsed="false">
      <c r="A61" s="23" t="s">
        <v>128</v>
      </c>
      <c r="B61" s="24" t="s">
        <v>57</v>
      </c>
      <c r="C61" s="23" t="n">
        <v>92451</v>
      </c>
      <c r="D61" s="25" t="s">
        <v>129</v>
      </c>
      <c r="E61" s="23" t="s">
        <v>19</v>
      </c>
      <c r="F61" s="26" t="n">
        <f aca="false">'MEMORIAL DE CALCULO'!F104</f>
        <v>8.4</v>
      </c>
      <c r="G61" s="27" t="n">
        <v>184.4</v>
      </c>
      <c r="H61" s="27" t="n">
        <f aca="false">G61*F61</f>
        <v>1548.96</v>
      </c>
      <c r="I61" s="28" t="n">
        <v>1.207</v>
      </c>
      <c r="J61" s="27" t="n">
        <f aca="false">ROUND(G61*I61,2)</f>
        <v>222.57</v>
      </c>
      <c r="K61" s="27" t="n">
        <f aca="false">J61*F61</f>
        <v>1869.588</v>
      </c>
      <c r="L61" s="29"/>
      <c r="M61" s="29"/>
      <c r="N61" s="29"/>
      <c r="O61" s="29"/>
      <c r="P61" s="29"/>
    </row>
    <row r="62" customFormat="false" ht="17.5" hidden="false" customHeight="false" outlineLevel="0" collapsed="false">
      <c r="A62" s="23" t="s">
        <v>130</v>
      </c>
      <c r="B62" s="24" t="s">
        <v>57</v>
      </c>
      <c r="C62" s="23" t="n">
        <v>92800</v>
      </c>
      <c r="D62" s="25" t="s">
        <v>102</v>
      </c>
      <c r="E62" s="23" t="s">
        <v>103</v>
      </c>
      <c r="F62" s="26" t="n">
        <f aca="false">'MEMORIAL DE CALCULO'!F108</f>
        <v>201.226666666667</v>
      </c>
      <c r="G62" s="27" t="n">
        <v>9.99</v>
      </c>
      <c r="H62" s="27" t="n">
        <f aca="false">G62*F62</f>
        <v>2010.2544</v>
      </c>
      <c r="I62" s="28" t="n">
        <v>1.207</v>
      </c>
      <c r="J62" s="27" t="n">
        <f aca="false">ROUND(G62*I62,2)</f>
        <v>12.06</v>
      </c>
      <c r="K62" s="27" t="n">
        <f aca="false">J62*F62</f>
        <v>2426.7936</v>
      </c>
      <c r="L62" s="29"/>
      <c r="M62" s="29"/>
      <c r="N62" s="29"/>
      <c r="O62" s="29"/>
      <c r="P62" s="29"/>
    </row>
    <row r="63" customFormat="false" ht="17.5" hidden="false" customHeight="false" outlineLevel="0" collapsed="false">
      <c r="A63" s="23" t="s">
        <v>131</v>
      </c>
      <c r="B63" s="24" t="s">
        <v>57</v>
      </c>
      <c r="C63" s="23" t="n">
        <v>92803</v>
      </c>
      <c r="D63" s="25" t="s">
        <v>105</v>
      </c>
      <c r="E63" s="23" t="s">
        <v>103</v>
      </c>
      <c r="F63" s="26" t="n">
        <f aca="false">'MEMORIAL DE CALCULO'!F115</f>
        <v>34.552</v>
      </c>
      <c r="G63" s="27" t="n">
        <v>8.85</v>
      </c>
      <c r="H63" s="27" t="n">
        <f aca="false">G63*F63</f>
        <v>305.7852</v>
      </c>
      <c r="I63" s="28" t="n">
        <v>1.207</v>
      </c>
      <c r="J63" s="27" t="n">
        <f aca="false">ROUND(G63*I63,2)</f>
        <v>10.68</v>
      </c>
      <c r="K63" s="27" t="n">
        <f aca="false">J63*F63</f>
        <v>369.01536</v>
      </c>
      <c r="L63" s="29"/>
      <c r="M63" s="29"/>
      <c r="N63" s="29"/>
      <c r="O63" s="29"/>
      <c r="P63" s="2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customFormat="false" ht="17.5" hidden="false" customHeight="false" outlineLevel="0" collapsed="false">
      <c r="A64" s="23" t="s">
        <v>132</v>
      </c>
      <c r="B64" s="24" t="s">
        <v>57</v>
      </c>
      <c r="C64" s="23" t="n">
        <v>92804</v>
      </c>
      <c r="D64" s="25" t="s">
        <v>133</v>
      </c>
      <c r="E64" s="23" t="s">
        <v>103</v>
      </c>
      <c r="F64" s="26" t="n">
        <f aca="false">'MEMORIAL DE CALCULO'!F119</f>
        <v>26.964</v>
      </c>
      <c r="G64" s="27" t="n">
        <v>7.56</v>
      </c>
      <c r="H64" s="27" t="n">
        <f aca="false">G64*F64</f>
        <v>203.84784</v>
      </c>
      <c r="I64" s="28" t="n">
        <v>1.207</v>
      </c>
      <c r="J64" s="27" t="n">
        <f aca="false">ROUND(G64*I64,2)</f>
        <v>9.12</v>
      </c>
      <c r="K64" s="27" t="n">
        <f aca="false">J64*F64</f>
        <v>245.91168</v>
      </c>
      <c r="L64" s="29"/>
      <c r="M64" s="29"/>
      <c r="N64" s="29"/>
      <c r="O64" s="29"/>
      <c r="P64" s="2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customFormat="false" ht="17.5" hidden="false" customHeight="false" outlineLevel="0" collapsed="false">
      <c r="A65" s="23" t="s">
        <v>134</v>
      </c>
      <c r="B65" s="24" t="s">
        <v>57</v>
      </c>
      <c r="C65" s="23" t="n">
        <v>103675</v>
      </c>
      <c r="D65" s="25" t="s">
        <v>135</v>
      </c>
      <c r="E65" s="23" t="s">
        <v>49</v>
      </c>
      <c r="F65" s="26" t="n">
        <f aca="false">'MEMORIAL DE CALCULO'!F123</f>
        <v>1.05</v>
      </c>
      <c r="G65" s="27" t="n">
        <v>569.93</v>
      </c>
      <c r="H65" s="27" t="n">
        <f aca="false">G65*F65</f>
        <v>598.4265</v>
      </c>
      <c r="I65" s="28" t="n">
        <v>1.207</v>
      </c>
      <c r="J65" s="27" t="n">
        <f aca="false">ROUND(G65*I65,2)</f>
        <v>687.91</v>
      </c>
      <c r="K65" s="27" t="n">
        <f aca="false">J65*F65</f>
        <v>722.3055</v>
      </c>
      <c r="L65" s="29"/>
      <c r="M65" s="29"/>
      <c r="N65" s="29"/>
      <c r="O65" s="29"/>
      <c r="P65" s="29"/>
    </row>
    <row r="66" customFormat="false" ht="17.5" hidden="false" customHeight="false" outlineLevel="0" collapsed="false">
      <c r="A66" s="23" t="s">
        <v>136</v>
      </c>
      <c r="B66" s="55" t="s">
        <v>26</v>
      </c>
      <c r="C66" s="48" t="s">
        <v>137</v>
      </c>
      <c r="D66" s="49" t="s">
        <v>138</v>
      </c>
      <c r="E66" s="48" t="s">
        <v>19</v>
      </c>
      <c r="F66" s="50" t="n">
        <f aca="false">'MEMORIAL DE CALCULO'!F126</f>
        <v>8.8</v>
      </c>
      <c r="G66" s="51" t="n">
        <v>200.79</v>
      </c>
      <c r="H66" s="27" t="n">
        <f aca="false">G66*F66</f>
        <v>1766.952</v>
      </c>
      <c r="I66" s="28" t="n">
        <v>1.207</v>
      </c>
      <c r="J66" s="27" t="n">
        <f aca="false">ROUND(G66*I66,2)</f>
        <v>242.35</v>
      </c>
      <c r="K66" s="51" t="n">
        <f aca="false">J66*F66</f>
        <v>2132.68</v>
      </c>
      <c r="L66" s="52"/>
      <c r="M66" s="52"/>
      <c r="N66" s="52"/>
      <c r="O66" s="52"/>
      <c r="P66" s="52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</row>
    <row r="67" customFormat="false" ht="17.5" hidden="false" customHeight="false" outlineLevel="0" collapsed="false">
      <c r="A67" s="43" t="s">
        <v>139</v>
      </c>
      <c r="B67" s="43"/>
      <c r="C67" s="43"/>
      <c r="D67" s="43"/>
      <c r="E67" s="43"/>
      <c r="F67" s="43"/>
      <c r="G67" s="43"/>
      <c r="H67" s="43"/>
      <c r="I67" s="43"/>
      <c r="J67" s="43"/>
      <c r="K67" s="44" t="n">
        <f aca="false">SUM(K68:K73)</f>
        <v>9718.062</v>
      </c>
      <c r="L67" s="29"/>
      <c r="M67" s="29"/>
      <c r="N67" s="29"/>
      <c r="O67" s="29"/>
      <c r="P67" s="29"/>
      <c r="XEW67" s="14"/>
      <c r="XEX67" s="14"/>
      <c r="XEY67" s="14"/>
      <c r="XEZ67" s="14"/>
      <c r="XFA67" s="14"/>
      <c r="XFB67" s="14"/>
      <c r="XFC67" s="14"/>
      <c r="XFD67" s="14"/>
    </row>
    <row r="68" customFormat="false" ht="17.5" hidden="false" customHeight="false" outlineLevel="0" collapsed="false">
      <c r="A68" s="23" t="s">
        <v>140</v>
      </c>
      <c r="B68" s="24" t="s">
        <v>57</v>
      </c>
      <c r="C68" s="23" t="n">
        <v>92602</v>
      </c>
      <c r="D68" s="25" t="s">
        <v>141</v>
      </c>
      <c r="E68" s="23" t="s">
        <v>39</v>
      </c>
      <c r="F68" s="26" t="n">
        <f aca="false">'MEMORIAL DE CALCULO'!F128</f>
        <v>4</v>
      </c>
      <c r="G68" s="27" t="n">
        <v>728.25</v>
      </c>
      <c r="H68" s="27" t="n">
        <f aca="false">G68*F68</f>
        <v>2913</v>
      </c>
      <c r="I68" s="28" t="n">
        <v>1.207</v>
      </c>
      <c r="J68" s="27" t="n">
        <f aca="false">ROUND(G68*I68,2)</f>
        <v>879</v>
      </c>
      <c r="K68" s="27" t="n">
        <f aca="false">J68*F68</f>
        <v>3516</v>
      </c>
      <c r="L68" s="29"/>
      <c r="M68" s="29"/>
      <c r="N68" s="29"/>
      <c r="O68" s="29"/>
      <c r="P68" s="29"/>
    </row>
    <row r="69" customFormat="false" ht="21.6" hidden="false" customHeight="false" outlineLevel="0" collapsed="false">
      <c r="A69" s="23" t="s">
        <v>142</v>
      </c>
      <c r="B69" s="24" t="s">
        <v>57</v>
      </c>
      <c r="C69" s="23" t="n">
        <v>92580</v>
      </c>
      <c r="D69" s="25" t="s">
        <v>143</v>
      </c>
      <c r="E69" s="23" t="s">
        <v>19</v>
      </c>
      <c r="F69" s="26" t="n">
        <f aca="false">4.4*2</f>
        <v>8.8</v>
      </c>
      <c r="G69" s="27" t="n">
        <v>48.61</v>
      </c>
      <c r="H69" s="27" t="n">
        <f aca="false">G69*F69</f>
        <v>427.768</v>
      </c>
      <c r="I69" s="28" t="n">
        <v>1.207</v>
      </c>
      <c r="J69" s="27" t="n">
        <f aca="false">ROUND(G69*I69,2)</f>
        <v>58.67</v>
      </c>
      <c r="K69" s="27" t="n">
        <f aca="false">J69*F69</f>
        <v>516.296</v>
      </c>
      <c r="L69" s="29"/>
      <c r="M69" s="29"/>
      <c r="N69" s="29"/>
      <c r="O69" s="29"/>
      <c r="P69" s="29"/>
    </row>
    <row r="70" customFormat="false" ht="17.5" hidden="false" customHeight="false" outlineLevel="0" collapsed="false">
      <c r="A70" s="23" t="s">
        <v>144</v>
      </c>
      <c r="B70" s="31" t="s">
        <v>26</v>
      </c>
      <c r="C70" s="23" t="s">
        <v>145</v>
      </c>
      <c r="D70" s="25" t="s">
        <v>146</v>
      </c>
      <c r="E70" s="23" t="s">
        <v>19</v>
      </c>
      <c r="F70" s="26" t="n">
        <f aca="false">4.4*2</f>
        <v>8.8</v>
      </c>
      <c r="G70" s="27" t="n">
        <v>153.79</v>
      </c>
      <c r="H70" s="27" t="n">
        <f aca="false">G70*F70</f>
        <v>1353.352</v>
      </c>
      <c r="I70" s="28" t="n">
        <v>1.207</v>
      </c>
      <c r="J70" s="27" t="n">
        <f aca="false">ROUND(G70*I70,2)</f>
        <v>185.62</v>
      </c>
      <c r="K70" s="27" t="n">
        <f aca="false">J70*F70</f>
        <v>1633.456</v>
      </c>
      <c r="L70" s="56"/>
      <c r="M70" s="56"/>
      <c r="N70" s="56"/>
      <c r="O70" s="56"/>
      <c r="P70" s="56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</row>
    <row r="71" s="46" customFormat="true" ht="17.5" hidden="false" customHeight="false" outlineLevel="0" collapsed="false">
      <c r="A71" s="23" t="s">
        <v>147</v>
      </c>
      <c r="B71" s="45" t="s">
        <v>21</v>
      </c>
      <c r="C71" s="23" t="s">
        <v>148</v>
      </c>
      <c r="D71" s="25" t="s">
        <v>149</v>
      </c>
      <c r="E71" s="23" t="s">
        <v>24</v>
      </c>
      <c r="F71" s="26" t="n">
        <f aca="false">(2.3*2)</f>
        <v>4.6</v>
      </c>
      <c r="G71" s="27" t="n">
        <f aca="false">133.27/1.23</f>
        <v>108.349593495935</v>
      </c>
      <c r="H71" s="27" t="n">
        <f aca="false">G71*F71</f>
        <v>498.408130081301</v>
      </c>
      <c r="I71" s="28" t="n">
        <v>1.207</v>
      </c>
      <c r="J71" s="27" t="n">
        <f aca="false">ROUND(G71*I71,2)</f>
        <v>130.78</v>
      </c>
      <c r="K71" s="27" t="n">
        <f aca="false">J71*F71</f>
        <v>601.588</v>
      </c>
      <c r="L71" s="29"/>
      <c r="M71" s="29"/>
      <c r="N71" s="29"/>
      <c r="O71" s="29"/>
      <c r="P71" s="2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XEW71" s="14"/>
      <c r="XEX71" s="14"/>
      <c r="XEY71" s="14"/>
      <c r="XEZ71" s="14"/>
      <c r="XFA71" s="14"/>
      <c r="XFB71" s="14"/>
      <c r="XFC71" s="14"/>
      <c r="XFD71" s="14"/>
    </row>
    <row r="72" customFormat="false" ht="17.5" hidden="false" customHeight="false" outlineLevel="0" collapsed="false">
      <c r="A72" s="23" t="s">
        <v>150</v>
      </c>
      <c r="B72" s="45" t="s">
        <v>21</v>
      </c>
      <c r="C72" s="23" t="s">
        <v>151</v>
      </c>
      <c r="D72" s="25" t="s">
        <v>152</v>
      </c>
      <c r="E72" s="23" t="s">
        <v>24</v>
      </c>
      <c r="F72" s="26" t="n">
        <f aca="false">2*(2.3*2)*3</f>
        <v>27.6</v>
      </c>
      <c r="G72" s="27" t="n">
        <f aca="false">104.92/1.23</f>
        <v>85.3008130081301</v>
      </c>
      <c r="H72" s="27" t="n">
        <f aca="false">G72*F72</f>
        <v>2354.30243902439</v>
      </c>
      <c r="I72" s="28" t="n">
        <v>1.207</v>
      </c>
      <c r="J72" s="27" t="n">
        <f aca="false">ROUND(G72*I72,2)</f>
        <v>102.96</v>
      </c>
      <c r="K72" s="27" t="n">
        <f aca="false">J72*F72</f>
        <v>2841.696</v>
      </c>
      <c r="L72" s="29"/>
      <c r="M72" s="29"/>
      <c r="N72" s="29"/>
      <c r="O72" s="29"/>
      <c r="P72" s="29"/>
    </row>
    <row r="73" customFormat="false" ht="21.6" hidden="false" customHeight="false" outlineLevel="0" collapsed="false">
      <c r="A73" s="23" t="s">
        <v>153</v>
      </c>
      <c r="B73" s="24" t="s">
        <v>57</v>
      </c>
      <c r="C73" s="23" t="n">
        <v>94231</v>
      </c>
      <c r="D73" s="25" t="s">
        <v>154</v>
      </c>
      <c r="E73" s="23" t="s">
        <v>24</v>
      </c>
      <c r="F73" s="26" t="n">
        <f aca="false">2.35*4</f>
        <v>9.4</v>
      </c>
      <c r="G73" s="27" t="n">
        <v>53.68</v>
      </c>
      <c r="H73" s="27" t="n">
        <f aca="false">G73*F73</f>
        <v>504.592</v>
      </c>
      <c r="I73" s="28" t="n">
        <v>1.207</v>
      </c>
      <c r="J73" s="27" t="n">
        <f aca="false">ROUND(G73*I73,2)</f>
        <v>64.79</v>
      </c>
      <c r="K73" s="27" t="n">
        <f aca="false">J73*F73</f>
        <v>609.026</v>
      </c>
      <c r="L73" s="29"/>
      <c r="M73" s="29"/>
      <c r="N73" s="29"/>
      <c r="O73" s="29"/>
      <c r="P73" s="29"/>
    </row>
    <row r="74" customFormat="false" ht="17.5" hidden="false" customHeight="false" outlineLevel="0" collapsed="false">
      <c r="A74" s="43" t="s">
        <v>155</v>
      </c>
      <c r="B74" s="43"/>
      <c r="C74" s="43"/>
      <c r="D74" s="43"/>
      <c r="E74" s="43"/>
      <c r="F74" s="43"/>
      <c r="G74" s="43"/>
      <c r="H74" s="43"/>
      <c r="I74" s="43"/>
      <c r="J74" s="43"/>
      <c r="K74" s="44" t="n">
        <f aca="false">SUM(K75:K81)</f>
        <v>18570.352</v>
      </c>
      <c r="L74" s="29"/>
      <c r="M74" s="29"/>
      <c r="N74" s="29"/>
      <c r="O74" s="29"/>
      <c r="P74" s="29"/>
    </row>
    <row r="75" customFormat="false" ht="17.5" hidden="false" customHeight="false" outlineLevel="0" collapsed="false">
      <c r="A75" s="23" t="s">
        <v>156</v>
      </c>
      <c r="B75" s="24" t="s">
        <v>57</v>
      </c>
      <c r="C75" s="23" t="n">
        <v>87879</v>
      </c>
      <c r="D75" s="25" t="s">
        <v>157</v>
      </c>
      <c r="E75" s="23" t="s">
        <v>19</v>
      </c>
      <c r="F75" s="26" t="n">
        <f aca="false">'MEMORIAL DE CALCULO'!F135</f>
        <v>125.2</v>
      </c>
      <c r="G75" s="27" t="n">
        <v>4.71</v>
      </c>
      <c r="H75" s="27" t="n">
        <f aca="false">G75*F75</f>
        <v>589.692</v>
      </c>
      <c r="I75" s="28" t="n">
        <v>1.207</v>
      </c>
      <c r="J75" s="27" t="n">
        <f aca="false">ROUND(G75*I75,2)</f>
        <v>5.68</v>
      </c>
      <c r="K75" s="27" t="n">
        <f aca="false">J75*F75</f>
        <v>711.136</v>
      </c>
      <c r="L75" s="29"/>
      <c r="M75" s="29"/>
      <c r="N75" s="29"/>
      <c r="O75" s="29"/>
      <c r="P75" s="2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customFormat="false" ht="17.5" hidden="false" customHeight="false" outlineLevel="0" collapsed="false">
      <c r="A76" s="23" t="s">
        <v>158</v>
      </c>
      <c r="B76" s="31" t="s">
        <v>26</v>
      </c>
      <c r="C76" s="23" t="s">
        <v>159</v>
      </c>
      <c r="D76" s="25" t="s">
        <v>160</v>
      </c>
      <c r="E76" s="23" t="s">
        <v>19</v>
      </c>
      <c r="F76" s="26" t="n">
        <f aca="false">'MEMORIAL DE CALCULO'!F139</f>
        <v>125.2</v>
      </c>
      <c r="G76" s="27" t="n">
        <v>23.71</v>
      </c>
      <c r="H76" s="27" t="n">
        <f aca="false">G76*F76</f>
        <v>2968.492</v>
      </c>
      <c r="I76" s="28" t="n">
        <v>1.207</v>
      </c>
      <c r="J76" s="27" t="n">
        <f aca="false">ROUND(G76*I76,2)</f>
        <v>28.62</v>
      </c>
      <c r="K76" s="27" t="n">
        <f aca="false">J76*F76</f>
        <v>3583.224</v>
      </c>
      <c r="L76" s="29"/>
      <c r="M76" s="29"/>
      <c r="N76" s="29"/>
      <c r="O76" s="29"/>
      <c r="P76" s="2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customFormat="false" ht="17.5" hidden="false" customHeight="false" outlineLevel="0" collapsed="false">
      <c r="A77" s="23" t="s">
        <v>161</v>
      </c>
      <c r="B77" s="31" t="s">
        <v>26</v>
      </c>
      <c r="C77" s="23" t="s">
        <v>162</v>
      </c>
      <c r="D77" s="25" t="s">
        <v>163</v>
      </c>
      <c r="E77" s="23" t="s">
        <v>19</v>
      </c>
      <c r="F77" s="26" t="n">
        <f aca="false">'MEMORIAL DE CALCULO'!F140</f>
        <v>76.8</v>
      </c>
      <c r="G77" s="27" t="n">
        <v>13.85</v>
      </c>
      <c r="H77" s="27" t="n">
        <f aca="false">G77*F77</f>
        <v>1063.68</v>
      </c>
      <c r="I77" s="28" t="n">
        <v>1.207</v>
      </c>
      <c r="J77" s="27" t="n">
        <f aca="false">ROUND(G77*I77,2)</f>
        <v>16.72</v>
      </c>
      <c r="K77" s="27" t="n">
        <f aca="false">J77*F77</f>
        <v>1284.096</v>
      </c>
      <c r="L77" s="29"/>
      <c r="M77" s="29"/>
      <c r="N77" s="29"/>
      <c r="O77" s="29"/>
      <c r="P77" s="2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customFormat="false" ht="21.6" hidden="false" customHeight="false" outlineLevel="0" collapsed="false">
      <c r="A78" s="23" t="s">
        <v>164</v>
      </c>
      <c r="B78" s="31" t="s">
        <v>26</v>
      </c>
      <c r="C78" s="23" t="s">
        <v>165</v>
      </c>
      <c r="D78" s="25" t="s">
        <v>166</v>
      </c>
      <c r="E78" s="23" t="s">
        <v>19</v>
      </c>
      <c r="F78" s="26" t="n">
        <f aca="false">SUM(F75-F77)</f>
        <v>48.4</v>
      </c>
      <c r="G78" s="27" t="n">
        <v>149.18</v>
      </c>
      <c r="H78" s="27" t="n">
        <f aca="false">G78*F78</f>
        <v>7220.312</v>
      </c>
      <c r="I78" s="28" t="n">
        <v>1.207</v>
      </c>
      <c r="J78" s="27" t="n">
        <f aca="false">ROUND(G78*I78,2)</f>
        <v>180.06</v>
      </c>
      <c r="K78" s="27" t="n">
        <f aca="false">J78*F78</f>
        <v>8714.904</v>
      </c>
      <c r="L78" s="29"/>
      <c r="M78" s="29"/>
      <c r="N78" s="29"/>
      <c r="O78" s="29"/>
      <c r="P78" s="2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customFormat="false" ht="17.5" hidden="false" customHeight="false" outlineLevel="0" collapsed="false">
      <c r="A79" s="23" t="s">
        <v>167</v>
      </c>
      <c r="B79" s="24" t="s">
        <v>57</v>
      </c>
      <c r="C79" s="23" t="n">
        <v>88411</v>
      </c>
      <c r="D79" s="25" t="s">
        <v>168</v>
      </c>
      <c r="E79" s="23" t="s">
        <v>19</v>
      </c>
      <c r="F79" s="36" t="n">
        <f aca="false">F81</f>
        <v>153.6</v>
      </c>
      <c r="G79" s="37" t="n">
        <v>5.57</v>
      </c>
      <c r="H79" s="27" t="n">
        <f aca="false">G79*F79</f>
        <v>855.552</v>
      </c>
      <c r="I79" s="28" t="n">
        <v>1.207</v>
      </c>
      <c r="J79" s="27" t="n">
        <f aca="false">ROUND(G79*I79,2)</f>
        <v>6.72</v>
      </c>
      <c r="K79" s="27" t="n">
        <f aca="false">J79*F79</f>
        <v>1032.192</v>
      </c>
    </row>
    <row r="80" customFormat="false" ht="17.5" hidden="false" customHeight="false" outlineLevel="0" collapsed="false">
      <c r="A80" s="23" t="s">
        <v>169</v>
      </c>
      <c r="B80" s="24" t="s">
        <v>57</v>
      </c>
      <c r="C80" s="23" t="n">
        <v>88484</v>
      </c>
      <c r="D80" s="25" t="s">
        <v>170</v>
      </c>
      <c r="E80" s="23" t="s">
        <v>19</v>
      </c>
      <c r="F80" s="36" t="n">
        <f aca="false">'MEMORIAL DE CALCULO'!F143</f>
        <v>76.8</v>
      </c>
      <c r="G80" s="37" t="n">
        <v>6.12</v>
      </c>
      <c r="H80" s="27" t="n">
        <f aca="false">G80*F80</f>
        <v>470.016</v>
      </c>
      <c r="I80" s="28" t="n">
        <v>1.207</v>
      </c>
      <c r="J80" s="27" t="n">
        <f aca="false">ROUND(G80*I80,2)</f>
        <v>7.39</v>
      </c>
      <c r="K80" s="27" t="n">
        <f aca="false">J80*F80</f>
        <v>567.552</v>
      </c>
    </row>
    <row r="81" customFormat="false" ht="17.5" hidden="false" customHeight="false" outlineLevel="0" collapsed="false">
      <c r="A81" s="23" t="s">
        <v>171</v>
      </c>
      <c r="B81" s="24" t="s">
        <v>57</v>
      </c>
      <c r="C81" s="23" t="n">
        <v>88489</v>
      </c>
      <c r="D81" s="25" t="s">
        <v>172</v>
      </c>
      <c r="E81" s="23" t="s">
        <v>19</v>
      </c>
      <c r="F81" s="26" t="n">
        <f aca="false">F77+F80</f>
        <v>153.6</v>
      </c>
      <c r="G81" s="27" t="n">
        <v>14.44</v>
      </c>
      <c r="H81" s="27" t="n">
        <f aca="false">G81*F81</f>
        <v>2217.984</v>
      </c>
      <c r="I81" s="28" t="n">
        <v>1.207</v>
      </c>
      <c r="J81" s="27" t="n">
        <f aca="false">ROUND(G81*I81,2)</f>
        <v>17.43</v>
      </c>
      <c r="K81" s="27" t="n">
        <f aca="false">J81*F81</f>
        <v>2677.248</v>
      </c>
      <c r="L81" s="29"/>
      <c r="M81" s="29"/>
      <c r="N81" s="29"/>
      <c r="O81" s="29"/>
      <c r="P81" s="2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customFormat="false" ht="17.5" hidden="false" customHeight="false" outlineLevel="0" collapsed="false">
      <c r="A82" s="43" t="s">
        <v>173</v>
      </c>
      <c r="B82" s="43"/>
      <c r="C82" s="43"/>
      <c r="D82" s="43"/>
      <c r="E82" s="43"/>
      <c r="F82" s="43"/>
      <c r="G82" s="43"/>
      <c r="H82" s="43"/>
      <c r="I82" s="43"/>
      <c r="J82" s="43"/>
      <c r="K82" s="44" t="n">
        <f aca="false">SUM(K83:K90)</f>
        <v>2525.19448</v>
      </c>
      <c r="L82" s="29"/>
      <c r="M82" s="29"/>
      <c r="N82" s="29"/>
      <c r="O82" s="29"/>
      <c r="P82" s="29"/>
    </row>
    <row r="83" customFormat="false" ht="17.5" hidden="false" customHeight="false" outlineLevel="0" collapsed="false">
      <c r="A83" s="23" t="s">
        <v>174</v>
      </c>
      <c r="B83" s="24" t="s">
        <v>64</v>
      </c>
      <c r="C83" s="23" t="n">
        <v>96624</v>
      </c>
      <c r="D83" s="25" t="s">
        <v>175</v>
      </c>
      <c r="E83" s="23" t="s">
        <v>49</v>
      </c>
      <c r="F83" s="26" t="n">
        <f aca="false">'MEMORIAL DE CALCULO'!F146</f>
        <v>0.264</v>
      </c>
      <c r="G83" s="27" t="n">
        <v>165.14</v>
      </c>
      <c r="H83" s="27" t="n">
        <f aca="false">G83*F83</f>
        <v>43.59696</v>
      </c>
      <c r="I83" s="28" t="n">
        <v>1.207</v>
      </c>
      <c r="J83" s="27" t="n">
        <f aca="false">ROUND(G83*I83,2)</f>
        <v>199.32</v>
      </c>
      <c r="K83" s="27" t="n">
        <f aca="false">J83*F83</f>
        <v>52.62048</v>
      </c>
      <c r="L83" s="29"/>
      <c r="M83" s="42"/>
      <c r="N83" s="29"/>
      <c r="O83" s="29"/>
      <c r="P83" s="29"/>
    </row>
    <row r="84" customFormat="false" ht="17.5" hidden="false" customHeight="false" outlineLevel="0" collapsed="false">
      <c r="A84" s="23" t="s">
        <v>176</v>
      </c>
      <c r="B84" s="24" t="s">
        <v>64</v>
      </c>
      <c r="C84" s="23" t="n">
        <v>97113</v>
      </c>
      <c r="D84" s="25" t="s">
        <v>65</v>
      </c>
      <c r="E84" s="23" t="s">
        <v>19</v>
      </c>
      <c r="F84" s="26" t="n">
        <f aca="false">'MEMORIAL DE CALCULO'!F147</f>
        <v>8.8</v>
      </c>
      <c r="G84" s="27" t="n">
        <v>1.62</v>
      </c>
      <c r="H84" s="27" t="n">
        <f aca="false">G84*F84</f>
        <v>14.256</v>
      </c>
      <c r="I84" s="28" t="n">
        <v>1.207</v>
      </c>
      <c r="J84" s="27" t="n">
        <f aca="false">ROUND(G84*I84,2)</f>
        <v>1.96</v>
      </c>
      <c r="K84" s="27" t="n">
        <f aca="false">J84*F84</f>
        <v>17.248</v>
      </c>
      <c r="L84" s="29"/>
      <c r="M84" s="42"/>
      <c r="N84" s="29"/>
      <c r="O84" s="29"/>
      <c r="P84" s="29"/>
    </row>
    <row r="85" customFormat="false" ht="17.5" hidden="false" customHeight="false" outlineLevel="0" collapsed="false">
      <c r="A85" s="23" t="s">
        <v>177</v>
      </c>
      <c r="B85" s="30" t="s">
        <v>21</v>
      </c>
      <c r="C85" s="23" t="s">
        <v>178</v>
      </c>
      <c r="D85" s="25" t="s">
        <v>179</v>
      </c>
      <c r="E85" s="23" t="s">
        <v>19</v>
      </c>
      <c r="F85" s="26" t="n">
        <f aca="false">'MEMORIAL DE CALCULO'!F148</f>
        <v>8.8</v>
      </c>
      <c r="G85" s="27" t="n">
        <f aca="false">38.2/1.23</f>
        <v>31.0569105691057</v>
      </c>
      <c r="H85" s="27" t="n">
        <f aca="false">G85*F85</f>
        <v>273.30081300813</v>
      </c>
      <c r="I85" s="28" t="n">
        <v>1.207</v>
      </c>
      <c r="J85" s="27" t="n">
        <f aca="false">ROUND(G85*I85,2)</f>
        <v>37.49</v>
      </c>
      <c r="K85" s="27" t="n">
        <f aca="false">J85*F85</f>
        <v>329.912</v>
      </c>
      <c r="L85" s="29"/>
      <c r="M85" s="42"/>
      <c r="N85" s="29"/>
      <c r="O85" s="29"/>
      <c r="P85" s="29"/>
    </row>
    <row r="86" customFormat="false" ht="17.5" hidden="false" customHeight="false" outlineLevel="0" collapsed="false">
      <c r="A86" s="23" t="s">
        <v>180</v>
      </c>
      <c r="B86" s="24" t="s">
        <v>64</v>
      </c>
      <c r="C86" s="23" t="n">
        <v>88472</v>
      </c>
      <c r="D86" s="25" t="s">
        <v>181</v>
      </c>
      <c r="E86" s="23" t="s">
        <v>19</v>
      </c>
      <c r="F86" s="26" t="n">
        <f aca="false">'MEMORIAL DE CALCULO'!F149</f>
        <v>8.8</v>
      </c>
      <c r="G86" s="27" t="n">
        <v>34.71</v>
      </c>
      <c r="H86" s="27" t="n">
        <f aca="false">G86*F86</f>
        <v>305.448</v>
      </c>
      <c r="I86" s="28" t="n">
        <v>1.207</v>
      </c>
      <c r="J86" s="27" t="n">
        <f aca="false">ROUND(G86*I86,2)</f>
        <v>41.89</v>
      </c>
      <c r="K86" s="27" t="n">
        <f aca="false">J86*F86</f>
        <v>368.632</v>
      </c>
      <c r="L86" s="29"/>
      <c r="M86" s="42"/>
      <c r="N86" s="29"/>
      <c r="O86" s="29"/>
      <c r="P86" s="29"/>
    </row>
    <row r="87" customFormat="false" ht="17.5" hidden="false" customHeight="false" outlineLevel="0" collapsed="false">
      <c r="A87" s="23" t="s">
        <v>182</v>
      </c>
      <c r="B87" s="24" t="s">
        <v>64</v>
      </c>
      <c r="C87" s="23" t="n">
        <v>39507</v>
      </c>
      <c r="D87" s="25" t="s">
        <v>183</v>
      </c>
      <c r="E87" s="23" t="s">
        <v>19</v>
      </c>
      <c r="F87" s="26" t="n">
        <f aca="false">F86</f>
        <v>8.8</v>
      </c>
      <c r="G87" s="27" t="n">
        <v>12.48</v>
      </c>
      <c r="H87" s="27" t="n">
        <f aca="false">G87*F87</f>
        <v>109.824</v>
      </c>
      <c r="I87" s="28" t="n">
        <v>1.207</v>
      </c>
      <c r="J87" s="27" t="n">
        <f aca="false">ROUND(G87*I87,2)</f>
        <v>15.06</v>
      </c>
      <c r="K87" s="27" t="n">
        <f aca="false">J87*F87</f>
        <v>132.528</v>
      </c>
      <c r="L87" s="29"/>
      <c r="M87" s="42"/>
      <c r="N87" s="29"/>
      <c r="O87" s="29"/>
      <c r="P87" s="29"/>
    </row>
    <row r="88" customFormat="false" ht="17.5" hidden="false" customHeight="false" outlineLevel="0" collapsed="false">
      <c r="A88" s="23" t="s">
        <v>184</v>
      </c>
      <c r="B88" s="24" t="s">
        <v>64</v>
      </c>
      <c r="C88" s="23" t="n">
        <v>87257</v>
      </c>
      <c r="D88" s="25" t="s">
        <v>185</v>
      </c>
      <c r="E88" s="23" t="s">
        <v>19</v>
      </c>
      <c r="F88" s="26" t="n">
        <f aca="false">F87</f>
        <v>8.8</v>
      </c>
      <c r="G88" s="27" t="n">
        <v>60.29</v>
      </c>
      <c r="H88" s="27" t="n">
        <f aca="false">G88*F88</f>
        <v>530.552</v>
      </c>
      <c r="I88" s="28" t="n">
        <v>1.207</v>
      </c>
      <c r="J88" s="27" t="n">
        <f aca="false">ROUND(G88*I88,2)</f>
        <v>72.77</v>
      </c>
      <c r="K88" s="27" t="n">
        <f aca="false">J88*F88</f>
        <v>640.376</v>
      </c>
      <c r="L88" s="29"/>
      <c r="M88" s="29"/>
      <c r="N88" s="29"/>
      <c r="O88" s="29"/>
      <c r="P88" s="29"/>
    </row>
    <row r="89" customFormat="false" ht="17.5" hidden="false" customHeight="false" outlineLevel="0" collapsed="false">
      <c r="A89" s="23" t="s">
        <v>186</v>
      </c>
      <c r="B89" s="24" t="s">
        <v>64</v>
      </c>
      <c r="C89" s="23" t="n">
        <v>88650</v>
      </c>
      <c r="D89" s="25" t="s">
        <v>187</v>
      </c>
      <c r="E89" s="23" t="s">
        <v>24</v>
      </c>
      <c r="F89" s="26" t="n">
        <f aca="false">'MEMORIAL DE CALCULO'!F152</f>
        <v>15</v>
      </c>
      <c r="G89" s="27" t="n">
        <v>11.57</v>
      </c>
      <c r="H89" s="27" t="n">
        <f aca="false">G89*F89</f>
        <v>173.55</v>
      </c>
      <c r="I89" s="28" t="n">
        <v>1.207</v>
      </c>
      <c r="J89" s="27" t="n">
        <f aca="false">ROUND(G89*I89,2)</f>
        <v>13.96</v>
      </c>
      <c r="K89" s="27" t="n">
        <f aca="false">J89*F89</f>
        <v>209.4</v>
      </c>
      <c r="L89" s="29"/>
      <c r="M89" s="29"/>
      <c r="N89" s="29"/>
      <c r="O89" s="29"/>
      <c r="P89" s="29"/>
    </row>
    <row r="90" customFormat="false" ht="17.5" hidden="false" customHeight="false" outlineLevel="0" collapsed="false">
      <c r="A90" s="23" t="s">
        <v>188</v>
      </c>
      <c r="B90" s="31" t="s">
        <v>26</v>
      </c>
      <c r="C90" s="23" t="s">
        <v>189</v>
      </c>
      <c r="D90" s="25" t="s">
        <v>190</v>
      </c>
      <c r="E90" s="23" t="s">
        <v>24</v>
      </c>
      <c r="F90" s="26" t="n">
        <f aca="false">'MEMORIAL DE CALCULO'!F153</f>
        <v>3.8</v>
      </c>
      <c r="G90" s="27" t="n">
        <v>168.86</v>
      </c>
      <c r="H90" s="27" t="n">
        <f aca="false">G90*F90</f>
        <v>641.668</v>
      </c>
      <c r="I90" s="28" t="n">
        <v>1.207</v>
      </c>
      <c r="J90" s="27" t="n">
        <f aca="false">ROUND(G90*I90,2)</f>
        <v>203.81</v>
      </c>
      <c r="K90" s="27" t="n">
        <f aca="false">J90*F90</f>
        <v>774.478</v>
      </c>
      <c r="L90" s="29"/>
      <c r="M90" s="29"/>
      <c r="N90" s="29"/>
      <c r="O90" s="29"/>
      <c r="P90" s="29"/>
    </row>
    <row r="91" customFormat="false" ht="17.5" hidden="false" customHeight="false" outlineLevel="0" collapsed="false">
      <c r="A91" s="43" t="s">
        <v>191</v>
      </c>
      <c r="B91" s="43"/>
      <c r="C91" s="43"/>
      <c r="D91" s="43"/>
      <c r="E91" s="43"/>
      <c r="F91" s="43"/>
      <c r="G91" s="43"/>
      <c r="H91" s="43"/>
      <c r="I91" s="43"/>
      <c r="J91" s="43"/>
      <c r="K91" s="44" t="n">
        <f aca="false">SUM(K92:K94)</f>
        <v>13256.82775</v>
      </c>
      <c r="L91" s="29"/>
      <c r="M91" s="29"/>
      <c r="N91" s="29"/>
      <c r="O91" s="29"/>
      <c r="P91" s="29"/>
    </row>
    <row r="92" customFormat="false" ht="17.5" hidden="false" customHeight="false" outlineLevel="0" collapsed="false">
      <c r="A92" s="23" t="s">
        <v>192</v>
      </c>
      <c r="B92" s="31" t="s">
        <v>26</v>
      </c>
      <c r="C92" s="23" t="s">
        <v>193</v>
      </c>
      <c r="D92" s="25" t="s">
        <v>194</v>
      </c>
      <c r="E92" s="54" t="s">
        <v>19</v>
      </c>
      <c r="F92" s="59" t="n">
        <f aca="false">(1*1)*4+(1.5*1)*4</f>
        <v>10</v>
      </c>
      <c r="G92" s="27" t="n">
        <v>920.86</v>
      </c>
      <c r="H92" s="27" t="n">
        <f aca="false">G92*F92</f>
        <v>9208.6</v>
      </c>
      <c r="I92" s="28" t="n">
        <v>1.207</v>
      </c>
      <c r="J92" s="27" t="n">
        <f aca="false">ROUND(G92*I92,2)</f>
        <v>1111.48</v>
      </c>
      <c r="K92" s="27" t="n">
        <f aca="false">J92*F92</f>
        <v>11114.8</v>
      </c>
      <c r="L92" s="29"/>
      <c r="M92" s="29"/>
      <c r="N92" s="29"/>
      <c r="O92" s="29"/>
      <c r="P92" s="29"/>
    </row>
    <row r="93" customFormat="false" ht="21.6" hidden="false" customHeight="false" outlineLevel="0" collapsed="false">
      <c r="A93" s="23" t="s">
        <v>195</v>
      </c>
      <c r="B93" s="31" t="s">
        <v>26</v>
      </c>
      <c r="C93" s="23" t="s">
        <v>196</v>
      </c>
      <c r="D93" s="25" t="s">
        <v>197</v>
      </c>
      <c r="E93" s="23" t="s">
        <v>39</v>
      </c>
      <c r="F93" s="26" t="n">
        <v>2</v>
      </c>
      <c r="G93" s="27" t="n">
        <v>803.64</v>
      </c>
      <c r="H93" s="27" t="n">
        <f aca="false">G93*F93</f>
        <v>1607.28</v>
      </c>
      <c r="I93" s="28" t="n">
        <v>1.207</v>
      </c>
      <c r="J93" s="27" t="n">
        <f aca="false">ROUND(G93*I93,2)</f>
        <v>969.99</v>
      </c>
      <c r="K93" s="27" t="n">
        <f aca="false">J93*F93</f>
        <v>1939.98</v>
      </c>
      <c r="L93" s="29"/>
      <c r="M93" s="29"/>
      <c r="N93" s="29"/>
      <c r="O93" s="29"/>
      <c r="P93" s="29"/>
    </row>
    <row r="94" customFormat="false" ht="17.5" hidden="false" customHeight="false" outlineLevel="0" collapsed="false">
      <c r="A94" s="23" t="s">
        <v>198</v>
      </c>
      <c r="B94" s="24" t="s">
        <v>57</v>
      </c>
      <c r="C94" s="23" t="n">
        <v>102219</v>
      </c>
      <c r="D94" s="25" t="s">
        <v>199</v>
      </c>
      <c r="E94" s="23" t="s">
        <v>19</v>
      </c>
      <c r="F94" s="26" t="n">
        <f aca="false">F93*(0.9*2.1)*2+(0.15*2.1)*2+(0.15*0.9)</f>
        <v>8.325</v>
      </c>
      <c r="G94" s="27" t="n">
        <v>20.11</v>
      </c>
      <c r="H94" s="27" t="n">
        <f aca="false">G94*F94</f>
        <v>167.41575</v>
      </c>
      <c r="I94" s="28" t="n">
        <v>1.207</v>
      </c>
      <c r="J94" s="27" t="n">
        <f aca="false">ROUND(G94*I94,2)</f>
        <v>24.27</v>
      </c>
      <c r="K94" s="27" t="n">
        <f aca="false">J94*F94</f>
        <v>202.04775</v>
      </c>
      <c r="L94" s="29"/>
      <c r="M94" s="29"/>
      <c r="N94" s="29"/>
      <c r="O94" s="29"/>
      <c r="P94" s="29"/>
    </row>
    <row r="95" customFormat="false" ht="17.5" hidden="false" customHeight="false" outlineLevel="0" collapsed="false">
      <c r="A95" s="43" t="s">
        <v>200</v>
      </c>
      <c r="B95" s="43"/>
      <c r="C95" s="43"/>
      <c r="D95" s="43"/>
      <c r="E95" s="43"/>
      <c r="F95" s="43"/>
      <c r="G95" s="43"/>
      <c r="H95" s="43"/>
      <c r="I95" s="43"/>
      <c r="J95" s="43"/>
      <c r="K95" s="44" t="n">
        <f aca="false">SUM(K96:K99)</f>
        <v>13419.08</v>
      </c>
      <c r="L95" s="29"/>
      <c r="M95" s="29"/>
      <c r="N95" s="29"/>
      <c r="O95" s="29"/>
      <c r="P95" s="29"/>
    </row>
    <row r="96" customFormat="false" ht="17.5" hidden="false" customHeight="false" outlineLevel="0" collapsed="false">
      <c r="A96" s="23" t="s">
        <v>201</v>
      </c>
      <c r="B96" s="30" t="s">
        <v>21</v>
      </c>
      <c r="C96" s="23" t="s">
        <v>202</v>
      </c>
      <c r="D96" s="25" t="s">
        <v>203</v>
      </c>
      <c r="E96" s="23" t="s">
        <v>204</v>
      </c>
      <c r="F96" s="26" t="n">
        <v>2</v>
      </c>
      <c r="G96" s="27" t="n">
        <f aca="false">2141.674/1.23</f>
        <v>1741.19837398374</v>
      </c>
      <c r="H96" s="27" t="n">
        <f aca="false">G96*F96</f>
        <v>3482.39674796748</v>
      </c>
      <c r="I96" s="28" t="n">
        <v>1.207</v>
      </c>
      <c r="J96" s="27" t="n">
        <f aca="false">ROUND(G96*I96,2)</f>
        <v>2101.63</v>
      </c>
      <c r="K96" s="27" t="n">
        <f aca="false">J96*F96</f>
        <v>4203.26</v>
      </c>
      <c r="L96" s="29"/>
      <c r="M96" s="29"/>
      <c r="N96" s="29"/>
      <c r="O96" s="29"/>
      <c r="P96" s="29"/>
    </row>
    <row r="97" customFormat="false" ht="21.6" hidden="false" customHeight="false" outlineLevel="0" collapsed="false">
      <c r="A97" s="23" t="s">
        <v>205</v>
      </c>
      <c r="B97" s="31" t="s">
        <v>26</v>
      </c>
      <c r="C97" s="23" t="s">
        <v>206</v>
      </c>
      <c r="D97" s="25" t="s">
        <v>207</v>
      </c>
      <c r="E97" s="23" t="s">
        <v>39</v>
      </c>
      <c r="F97" s="26" t="n">
        <v>4</v>
      </c>
      <c r="G97" s="27" t="n">
        <v>172.34</v>
      </c>
      <c r="H97" s="27" t="n">
        <f aca="false">G97*F97</f>
        <v>689.36</v>
      </c>
      <c r="I97" s="28" t="n">
        <v>1.207</v>
      </c>
      <c r="J97" s="27" t="n">
        <f aca="false">ROUND(G97*I97,2)</f>
        <v>208.01</v>
      </c>
      <c r="K97" s="27" t="n">
        <f aca="false">J97*F97</f>
        <v>832.04</v>
      </c>
      <c r="L97" s="29"/>
      <c r="M97" s="29"/>
      <c r="N97" s="29"/>
      <c r="O97" s="29"/>
      <c r="P97" s="29"/>
    </row>
    <row r="98" customFormat="false" ht="17.5" hidden="false" customHeight="false" outlineLevel="0" collapsed="false">
      <c r="A98" s="23" t="s">
        <v>208</v>
      </c>
      <c r="B98" s="31" t="s">
        <v>26</v>
      </c>
      <c r="C98" s="23" t="s">
        <v>209</v>
      </c>
      <c r="D98" s="25" t="s">
        <v>210</v>
      </c>
      <c r="E98" s="23" t="s">
        <v>24</v>
      </c>
      <c r="F98" s="26" t="n">
        <v>4</v>
      </c>
      <c r="G98" s="27" t="n">
        <v>194.27</v>
      </c>
      <c r="H98" s="27" t="n">
        <f aca="false">G98*F98</f>
        <v>777.08</v>
      </c>
      <c r="I98" s="28" t="n">
        <v>1.207</v>
      </c>
      <c r="J98" s="27" t="n">
        <f aca="false">ROUND(G98*I98,2)</f>
        <v>234.48</v>
      </c>
      <c r="K98" s="27" t="n">
        <f aca="false">J98*F98</f>
        <v>937.92</v>
      </c>
      <c r="L98" s="29"/>
      <c r="M98" s="29"/>
      <c r="N98" s="29"/>
      <c r="O98" s="29"/>
      <c r="P98" s="29"/>
    </row>
    <row r="99" customFormat="false" ht="17.5" hidden="false" customHeight="false" outlineLevel="0" collapsed="false">
      <c r="A99" s="23" t="s">
        <v>211</v>
      </c>
      <c r="B99" s="30" t="s">
        <v>21</v>
      </c>
      <c r="C99" s="23" t="s">
        <v>212</v>
      </c>
      <c r="D99" s="25" t="s">
        <v>213</v>
      </c>
      <c r="E99" s="23" t="s">
        <v>204</v>
      </c>
      <c r="F99" s="26" t="n">
        <v>2</v>
      </c>
      <c r="G99" s="27" t="n">
        <f aca="false">3793.87/1.23</f>
        <v>3084.44715447154</v>
      </c>
      <c r="H99" s="27" t="n">
        <f aca="false">G99*F99</f>
        <v>6168.89430894309</v>
      </c>
      <c r="I99" s="28" t="n">
        <v>1.207</v>
      </c>
      <c r="J99" s="27" t="n">
        <f aca="false">ROUND(G99*I99,2)</f>
        <v>3722.93</v>
      </c>
      <c r="K99" s="27" t="n">
        <f aca="false">J99*F99</f>
        <v>7445.86</v>
      </c>
      <c r="L99" s="29"/>
      <c r="M99" s="29"/>
      <c r="N99" s="29"/>
      <c r="O99" s="29"/>
      <c r="P99" s="29"/>
    </row>
    <row r="100" customFormat="false" ht="17.5" hidden="false" customHeight="false" outlineLevel="0" collapsed="false">
      <c r="A100" s="43" t="s">
        <v>214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4" t="n">
        <f aca="false">SUM(K101:K104)</f>
        <v>3565.955</v>
      </c>
      <c r="L100" s="29"/>
      <c r="M100" s="29"/>
      <c r="N100" s="29"/>
      <c r="O100" s="29"/>
      <c r="P100" s="29"/>
    </row>
    <row r="101" customFormat="false" ht="17.5" hidden="false" customHeight="false" outlineLevel="0" collapsed="false">
      <c r="A101" s="23" t="s">
        <v>215</v>
      </c>
      <c r="B101" s="30" t="s">
        <v>21</v>
      </c>
      <c r="C101" s="54" t="s">
        <v>216</v>
      </c>
      <c r="D101" s="25" t="s">
        <v>217</v>
      </c>
      <c r="E101" s="54" t="s">
        <v>39</v>
      </c>
      <c r="F101" s="26" t="n">
        <v>2</v>
      </c>
      <c r="G101" s="27" t="n">
        <f aca="false">829.45/1.23</f>
        <v>674.349593495935</v>
      </c>
      <c r="H101" s="27" t="n">
        <f aca="false">G101*F101</f>
        <v>1348.69918699187</v>
      </c>
      <c r="I101" s="28" t="n">
        <v>1.207</v>
      </c>
      <c r="J101" s="27" t="n">
        <f aca="false">ROUND(G101*I101,2)</f>
        <v>813.94</v>
      </c>
      <c r="K101" s="27" t="n">
        <f aca="false">J101*F101</f>
        <v>1627.88</v>
      </c>
      <c r="L101" s="60"/>
      <c r="M101" s="60"/>
      <c r="N101" s="60"/>
      <c r="O101" s="60"/>
      <c r="P101" s="60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</row>
    <row r="102" customFormat="false" ht="17.5" hidden="false" customHeight="false" outlineLevel="0" collapsed="false">
      <c r="A102" s="23" t="s">
        <v>218</v>
      </c>
      <c r="B102" s="30" t="s">
        <v>21</v>
      </c>
      <c r="C102" s="54" t="s">
        <v>219</v>
      </c>
      <c r="D102" s="25" t="s">
        <v>220</v>
      </c>
      <c r="E102" s="54" t="s">
        <v>24</v>
      </c>
      <c r="F102" s="26" t="n">
        <f aca="false">0.5*4</f>
        <v>2</v>
      </c>
      <c r="G102" s="27" t="n">
        <f aca="false">83.16/1.23</f>
        <v>67.609756097561</v>
      </c>
      <c r="H102" s="27" t="n">
        <f aca="false">G102*F102</f>
        <v>135.219512195122</v>
      </c>
      <c r="I102" s="28" t="n">
        <v>1.207</v>
      </c>
      <c r="J102" s="27" t="n">
        <f aca="false">ROUND(G102*I102,2)</f>
        <v>81.6</v>
      </c>
      <c r="K102" s="27" t="n">
        <f aca="false">J102*F102</f>
        <v>163.2</v>
      </c>
      <c r="L102" s="60"/>
      <c r="M102" s="60"/>
      <c r="N102" s="60"/>
      <c r="O102" s="60"/>
      <c r="P102" s="60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</row>
    <row r="103" customFormat="false" ht="17.5" hidden="false" customHeight="false" outlineLevel="0" collapsed="false">
      <c r="A103" s="23" t="s">
        <v>221</v>
      </c>
      <c r="B103" s="30" t="s">
        <v>21</v>
      </c>
      <c r="C103" s="54" t="s">
        <v>222</v>
      </c>
      <c r="D103" s="25" t="s">
        <v>223</v>
      </c>
      <c r="E103" s="54" t="s">
        <v>24</v>
      </c>
      <c r="F103" s="26" t="n">
        <f aca="false">2.25*2</f>
        <v>4.5</v>
      </c>
      <c r="G103" s="27" t="n">
        <f aca="false">108.17/1.23</f>
        <v>87.9430894308943</v>
      </c>
      <c r="H103" s="27" t="n">
        <f aca="false">G103*F103</f>
        <v>395.743902439024</v>
      </c>
      <c r="I103" s="28" t="n">
        <v>1.207</v>
      </c>
      <c r="J103" s="27" t="n">
        <f aca="false">ROUND(G103*I103,2)</f>
        <v>106.15</v>
      </c>
      <c r="K103" s="27" t="n">
        <f aca="false">J103*F103</f>
        <v>477.675</v>
      </c>
      <c r="L103" s="60"/>
      <c r="M103" s="60"/>
      <c r="N103" s="60"/>
      <c r="O103" s="60"/>
      <c r="P103" s="60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</row>
    <row r="104" customFormat="false" ht="17.5" hidden="false" customHeight="false" outlineLevel="0" collapsed="false">
      <c r="A104" s="23" t="s">
        <v>224</v>
      </c>
      <c r="B104" s="30" t="s">
        <v>21</v>
      </c>
      <c r="C104" s="54" t="s">
        <v>225</v>
      </c>
      <c r="D104" s="25" t="s">
        <v>226</v>
      </c>
      <c r="E104" s="54" t="s">
        <v>24</v>
      </c>
      <c r="F104" s="26" t="n">
        <v>8</v>
      </c>
      <c r="G104" s="27" t="n">
        <f aca="false">165.24/1.23</f>
        <v>134.341463414634</v>
      </c>
      <c r="H104" s="27" t="n">
        <f aca="false">G104*F104</f>
        <v>1074.73170731707</v>
      </c>
      <c r="I104" s="28" t="n">
        <v>1.207</v>
      </c>
      <c r="J104" s="27" t="n">
        <f aca="false">ROUND(G104*I104,2)</f>
        <v>162.15</v>
      </c>
      <c r="K104" s="27" t="n">
        <f aca="false">J104*F104</f>
        <v>1297.2</v>
      </c>
      <c r="L104" s="60"/>
      <c r="M104" s="60"/>
      <c r="N104" s="60"/>
      <c r="O104" s="60"/>
      <c r="P104" s="60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</row>
    <row r="105" customFormat="false" ht="17.5" hidden="false" customHeight="false" outlineLevel="0" collapsed="false">
      <c r="A105" s="43" t="s">
        <v>227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4" t="n">
        <f aca="false">SUM(K106:K107)</f>
        <v>876</v>
      </c>
      <c r="L105" s="29"/>
      <c r="M105" s="29"/>
      <c r="N105" s="29"/>
      <c r="O105" s="29"/>
      <c r="P105" s="29"/>
    </row>
    <row r="106" customFormat="false" ht="17.5" hidden="false" customHeight="false" outlineLevel="0" collapsed="false">
      <c r="A106" s="23" t="s">
        <v>228</v>
      </c>
      <c r="B106" s="24" t="s">
        <v>57</v>
      </c>
      <c r="C106" s="23" t="n">
        <v>102605</v>
      </c>
      <c r="D106" s="25" t="s">
        <v>229</v>
      </c>
      <c r="E106" s="54" t="s">
        <v>39</v>
      </c>
      <c r="F106" s="26" t="n">
        <v>2</v>
      </c>
      <c r="G106" s="27" t="n">
        <v>278.72</v>
      </c>
      <c r="H106" s="27" t="n">
        <f aca="false">G106*F106</f>
        <v>557.44</v>
      </c>
      <c r="I106" s="28" t="n">
        <v>1.207</v>
      </c>
      <c r="J106" s="27" t="n">
        <f aca="false">ROUND(G106*I106,2)</f>
        <v>336.42</v>
      </c>
      <c r="K106" s="27" t="n">
        <f aca="false">J106*F106</f>
        <v>672.84</v>
      </c>
      <c r="L106" s="29"/>
      <c r="M106" s="29"/>
      <c r="N106" s="29"/>
      <c r="O106" s="29"/>
      <c r="P106" s="29"/>
    </row>
    <row r="107" customFormat="false" ht="17.5" hidden="false" customHeight="false" outlineLevel="0" collapsed="false">
      <c r="A107" s="23" t="s">
        <v>230</v>
      </c>
      <c r="B107" s="24" t="s">
        <v>57</v>
      </c>
      <c r="C107" s="23" t="n">
        <v>89971</v>
      </c>
      <c r="D107" s="25" t="s">
        <v>231</v>
      </c>
      <c r="E107" s="62" t="s">
        <v>39</v>
      </c>
      <c r="F107" s="26" t="n">
        <v>4</v>
      </c>
      <c r="G107" s="27" t="n">
        <v>42.08</v>
      </c>
      <c r="H107" s="27" t="n">
        <f aca="false">G107*F107</f>
        <v>168.32</v>
      </c>
      <c r="I107" s="28" t="n">
        <v>1.207</v>
      </c>
      <c r="J107" s="27" t="n">
        <f aca="false">ROUND(G107*I107,2)</f>
        <v>50.79</v>
      </c>
      <c r="K107" s="27" t="n">
        <f aca="false">J107*F107</f>
        <v>203.16</v>
      </c>
      <c r="L107" s="29"/>
      <c r="M107" s="29"/>
      <c r="N107" s="29"/>
      <c r="O107" s="29"/>
      <c r="P107" s="29"/>
    </row>
    <row r="108" customFormat="false" ht="17.5" hidden="false" customHeight="false" outlineLevel="0" collapsed="false">
      <c r="A108" s="43" t="s">
        <v>232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4" t="n">
        <f aca="false">SUM(K109:K110)</f>
        <v>1684.08</v>
      </c>
      <c r="L108" s="29"/>
      <c r="M108" s="29"/>
      <c r="N108" s="29"/>
      <c r="O108" s="29"/>
      <c r="P108" s="29"/>
    </row>
    <row r="109" customFormat="false" ht="17.5" hidden="false" customHeight="false" outlineLevel="0" collapsed="false">
      <c r="A109" s="23" t="s">
        <v>233</v>
      </c>
      <c r="B109" s="31" t="s">
        <v>26</v>
      </c>
      <c r="C109" s="54" t="s">
        <v>234</v>
      </c>
      <c r="D109" s="25" t="s">
        <v>235</v>
      </c>
      <c r="E109" s="54" t="s">
        <v>24</v>
      </c>
      <c r="F109" s="26" t="n">
        <f aca="false">(2.5+4+1.5+4)*2</f>
        <v>24</v>
      </c>
      <c r="G109" s="27" t="n">
        <v>49.33</v>
      </c>
      <c r="H109" s="27" t="n">
        <f aca="false">G109*F109</f>
        <v>1183.92</v>
      </c>
      <c r="I109" s="28" t="n">
        <v>1.207</v>
      </c>
      <c r="J109" s="27" t="n">
        <f aca="false">ROUND(G109*I109,2)</f>
        <v>59.54</v>
      </c>
      <c r="K109" s="27" t="n">
        <f aca="false">J109*F109</f>
        <v>1428.96</v>
      </c>
      <c r="L109" s="60"/>
      <c r="M109" s="60"/>
      <c r="N109" s="60"/>
      <c r="O109" s="60"/>
      <c r="P109" s="60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</row>
    <row r="110" customFormat="false" ht="17.5" hidden="false" customHeight="false" outlineLevel="0" collapsed="false">
      <c r="A110" s="23" t="s">
        <v>236</v>
      </c>
      <c r="B110" s="31" t="s">
        <v>26</v>
      </c>
      <c r="C110" s="54" t="s">
        <v>237</v>
      </c>
      <c r="D110" s="25" t="s">
        <v>238</v>
      </c>
      <c r="E110" s="54" t="s">
        <v>39</v>
      </c>
      <c r="F110" s="26" t="n">
        <v>2</v>
      </c>
      <c r="G110" s="27" t="n">
        <v>105.68</v>
      </c>
      <c r="H110" s="27" t="n">
        <f aca="false">G110*F110</f>
        <v>211.36</v>
      </c>
      <c r="I110" s="28" t="n">
        <v>1.207</v>
      </c>
      <c r="J110" s="27" t="n">
        <f aca="false">ROUND(G110*I110,2)</f>
        <v>127.56</v>
      </c>
      <c r="K110" s="27" t="n">
        <f aca="false">J110*F110</f>
        <v>255.12</v>
      </c>
      <c r="L110" s="60"/>
      <c r="M110" s="60"/>
      <c r="N110" s="60"/>
      <c r="O110" s="60"/>
      <c r="P110" s="60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</row>
    <row r="111" customFormat="false" ht="17.5" hidden="false" customHeight="false" outlineLevel="0" collapsed="false">
      <c r="A111" s="43" t="s">
        <v>239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4" t="n">
        <f aca="false">SUM(K112:K113)</f>
        <v>11042.2034</v>
      </c>
      <c r="L111" s="29"/>
      <c r="M111" s="29"/>
      <c r="N111" s="29"/>
      <c r="O111" s="29"/>
      <c r="P111" s="29"/>
    </row>
    <row r="112" customFormat="false" ht="17.5" hidden="false" customHeight="false" outlineLevel="0" collapsed="false">
      <c r="A112" s="23" t="s">
        <v>240</v>
      </c>
      <c r="B112" s="31" t="s">
        <v>26</v>
      </c>
      <c r="C112" s="23" t="s">
        <v>241</v>
      </c>
      <c r="D112" s="25" t="s">
        <v>242</v>
      </c>
      <c r="E112" s="54" t="s">
        <v>19</v>
      </c>
      <c r="F112" s="59" t="n">
        <f aca="false">'MEMORIAL DE CALCULO'!F183</f>
        <v>7.09</v>
      </c>
      <c r="G112" s="27" t="n">
        <v>756.15</v>
      </c>
      <c r="H112" s="27" t="n">
        <f aca="false">G112*F112</f>
        <v>5361.1035</v>
      </c>
      <c r="I112" s="28" t="n">
        <v>1.207</v>
      </c>
      <c r="J112" s="27" t="n">
        <f aca="false">ROUND(G112*I112,2)</f>
        <v>912.67</v>
      </c>
      <c r="K112" s="27" t="n">
        <f aca="false">J112*F112</f>
        <v>6470.8303</v>
      </c>
    </row>
    <row r="113" customFormat="false" ht="17.5" hidden="false" customHeight="false" outlineLevel="0" collapsed="false">
      <c r="A113" s="23" t="s">
        <v>243</v>
      </c>
      <c r="B113" s="30" t="s">
        <v>21</v>
      </c>
      <c r="C113" s="23" t="s">
        <v>244</v>
      </c>
      <c r="D113" s="25" t="s">
        <v>245</v>
      </c>
      <c r="E113" s="54" t="s">
        <v>246</v>
      </c>
      <c r="F113" s="59" t="n">
        <f aca="false">F112+(0.7*2.1)*2</f>
        <v>10.03</v>
      </c>
      <c r="G113" s="27" t="n">
        <f aca="false">464.45/1.23</f>
        <v>377.60162601626</v>
      </c>
      <c r="H113" s="27" t="n">
        <f aca="false">G113*F113</f>
        <v>3787.34430894309</v>
      </c>
      <c r="I113" s="28" t="n">
        <v>1.207</v>
      </c>
      <c r="J113" s="27" t="n">
        <f aca="false">ROUND(G113*I113,2)</f>
        <v>455.77</v>
      </c>
      <c r="K113" s="27" t="n">
        <f aca="false">J113*F113</f>
        <v>4571.3731</v>
      </c>
    </row>
    <row r="114" customFormat="false" ht="17.5" hidden="false" customHeight="false" outlineLevel="0" collapsed="false">
      <c r="A114" s="32"/>
      <c r="B114" s="32"/>
      <c r="C114" s="32"/>
      <c r="D114" s="32"/>
      <c r="E114" s="32"/>
      <c r="F114" s="32"/>
      <c r="G114" s="33" t="s">
        <v>247</v>
      </c>
      <c r="H114" s="33"/>
      <c r="I114" s="33"/>
      <c r="J114" s="33"/>
      <c r="K114" s="34" t="n">
        <f aca="false">SUM(K111+K108+K105+K100+K95+K91+K82+K74+K67+K54+K44)</f>
        <v>101833.0052386</v>
      </c>
      <c r="L114" s="29"/>
      <c r="M114" s="29"/>
      <c r="N114" s="29"/>
      <c r="O114" s="29"/>
      <c r="P114" s="29"/>
    </row>
    <row r="115" customFormat="false" ht="17.5" hidden="false" customHeight="false" outlineLevel="0" collapsed="false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customFormat="false" ht="17.5" hidden="false" customHeight="false" outlineLevel="0" collapsed="false">
      <c r="A116" s="20" t="s">
        <v>248</v>
      </c>
      <c r="B116" s="63" t="s">
        <v>249</v>
      </c>
      <c r="C116" s="63"/>
      <c r="D116" s="63"/>
      <c r="E116" s="63"/>
      <c r="F116" s="63"/>
      <c r="G116" s="63"/>
      <c r="H116" s="63"/>
      <c r="I116" s="63"/>
      <c r="J116" s="63"/>
      <c r="K116" s="63"/>
    </row>
    <row r="117" customFormat="false" ht="17.5" hidden="false" customHeight="false" outlineLevel="0" collapsed="false">
      <c r="A117" s="23" t="s">
        <v>250</v>
      </c>
      <c r="B117" s="30" t="s">
        <v>21</v>
      </c>
      <c r="C117" s="23" t="s">
        <v>251</v>
      </c>
      <c r="D117" s="41" t="s">
        <v>252</v>
      </c>
      <c r="E117" s="23" t="s">
        <v>49</v>
      </c>
      <c r="F117" s="36" t="n">
        <f aca="false">'MEMORIAL DE CALCULO'!F187</f>
        <v>3.275</v>
      </c>
      <c r="G117" s="37" t="n">
        <f aca="false">333.32/1.23</f>
        <v>270.991869918699</v>
      </c>
      <c r="H117" s="37" t="n">
        <f aca="false">F117*G117</f>
        <v>887.49837398374</v>
      </c>
      <c r="I117" s="38" t="n">
        <v>1.207</v>
      </c>
      <c r="J117" s="37" t="n">
        <f aca="false">ROUND(G117*I117,2)</f>
        <v>327.09</v>
      </c>
      <c r="K117" s="37" t="n">
        <f aca="false">J117*F117</f>
        <v>1071.21975</v>
      </c>
    </row>
    <row r="118" customFormat="false" ht="17.5" hidden="false" customHeight="false" outlineLevel="0" collapsed="false">
      <c r="A118" s="23" t="s">
        <v>253</v>
      </c>
      <c r="B118" s="30" t="s">
        <v>21</v>
      </c>
      <c r="C118" s="23" t="s">
        <v>254</v>
      </c>
      <c r="D118" s="25" t="s">
        <v>255</v>
      </c>
      <c r="E118" s="23" t="s">
        <v>49</v>
      </c>
      <c r="F118" s="26" t="n">
        <f aca="false">'MEMORIAL DE CALCULO'!F190</f>
        <v>3.275</v>
      </c>
      <c r="G118" s="40" t="n">
        <f aca="false">116/1.23</f>
        <v>94.3089430894309</v>
      </c>
      <c r="H118" s="37" t="n">
        <f aca="false">F118*G118</f>
        <v>308.861788617886</v>
      </c>
      <c r="I118" s="38" t="n">
        <v>1.207</v>
      </c>
      <c r="J118" s="37" t="n">
        <f aca="false">ROUND(G118*I118,2)</f>
        <v>113.83</v>
      </c>
      <c r="K118" s="40" t="n">
        <f aca="false">J118*F118</f>
        <v>372.79325</v>
      </c>
    </row>
    <row r="119" customFormat="false" ht="21.6" hidden="false" customHeight="false" outlineLevel="0" collapsed="false">
      <c r="A119" s="23" t="s">
        <v>256</v>
      </c>
      <c r="B119" s="24" t="s">
        <v>57</v>
      </c>
      <c r="C119" s="23" t="n">
        <v>100982</v>
      </c>
      <c r="D119" s="41" t="s">
        <v>257</v>
      </c>
      <c r="E119" s="23" t="s">
        <v>49</v>
      </c>
      <c r="F119" s="36" t="n">
        <f aca="false">'MEMORIAL DE CALCULO'!F191</f>
        <v>3.275</v>
      </c>
      <c r="G119" s="37" t="n">
        <v>9.38</v>
      </c>
      <c r="H119" s="37" t="n">
        <f aca="false">F119*G119</f>
        <v>30.7195</v>
      </c>
      <c r="I119" s="38" t="n">
        <v>1.207</v>
      </c>
      <c r="J119" s="37" t="n">
        <f aca="false">ROUND(G119*I119,2)</f>
        <v>11.32</v>
      </c>
      <c r="K119" s="37" t="n">
        <f aca="false">J119*F119</f>
        <v>37.073</v>
      </c>
    </row>
    <row r="120" customFormat="false" ht="17.5" hidden="false" customHeight="false" outlineLevel="0" collapsed="false">
      <c r="A120" s="23" t="s">
        <v>258</v>
      </c>
      <c r="B120" s="24" t="s">
        <v>57</v>
      </c>
      <c r="C120" s="23" t="n">
        <v>95875</v>
      </c>
      <c r="D120" s="41" t="s">
        <v>259</v>
      </c>
      <c r="E120" s="23" t="s">
        <v>260</v>
      </c>
      <c r="F120" s="36" t="n">
        <f aca="false">'MEMORIAL DE CALCULO'!F192</f>
        <v>32.75</v>
      </c>
      <c r="G120" s="37" t="n">
        <v>2.57</v>
      </c>
      <c r="H120" s="37" t="n">
        <f aca="false">F120*G120</f>
        <v>84.1675</v>
      </c>
      <c r="I120" s="38" t="n">
        <v>1.207</v>
      </c>
      <c r="J120" s="37" t="n">
        <f aca="false">ROUND(G120*I120,2)</f>
        <v>3.1</v>
      </c>
      <c r="K120" s="37" t="n">
        <f aca="false">J120*F120</f>
        <v>101.525</v>
      </c>
    </row>
    <row r="121" customFormat="false" ht="17.5" hidden="false" customHeight="false" outlineLevel="0" collapsed="false">
      <c r="A121" s="23" t="s">
        <v>261</v>
      </c>
      <c r="B121" s="24" t="s">
        <v>57</v>
      </c>
      <c r="C121" s="23" t="n">
        <v>100324</v>
      </c>
      <c r="D121" s="41" t="s">
        <v>262</v>
      </c>
      <c r="E121" s="23" t="s">
        <v>49</v>
      </c>
      <c r="F121" s="36" t="n">
        <f aca="false">'MEMORIAL DE CALCULO'!F193</f>
        <v>0.655</v>
      </c>
      <c r="G121" s="37" t="n">
        <v>164.88</v>
      </c>
      <c r="H121" s="37" t="n">
        <f aca="false">F121*G121</f>
        <v>107.9964</v>
      </c>
      <c r="I121" s="38" t="n">
        <v>1.207</v>
      </c>
      <c r="J121" s="37" t="n">
        <f aca="false">ROUND(G121*I121,2)</f>
        <v>199.01</v>
      </c>
      <c r="K121" s="37" t="n">
        <f aca="false">J121*F121</f>
        <v>130.35155</v>
      </c>
    </row>
    <row r="122" customFormat="false" ht="17.5" hidden="false" customHeight="false" outlineLevel="0" collapsed="false">
      <c r="A122" s="23" t="s">
        <v>263</v>
      </c>
      <c r="B122" s="24" t="s">
        <v>57</v>
      </c>
      <c r="C122" s="23" t="n">
        <v>101749</v>
      </c>
      <c r="D122" s="41" t="s">
        <v>264</v>
      </c>
      <c r="E122" s="23" t="s">
        <v>19</v>
      </c>
      <c r="F122" s="36" t="n">
        <f aca="false">'MEMORIAL DE CALCULO'!F194</f>
        <v>6.55</v>
      </c>
      <c r="G122" s="37" t="n">
        <v>53.82</v>
      </c>
      <c r="H122" s="37" t="n">
        <f aca="false">F122*G122</f>
        <v>352.521</v>
      </c>
      <c r="I122" s="38" t="n">
        <v>1.207</v>
      </c>
      <c r="J122" s="37" t="n">
        <f aca="false">ROUND(G122*I122,2)</f>
        <v>64.96</v>
      </c>
      <c r="K122" s="37" t="n">
        <f aca="false">J122*F122</f>
        <v>425.488</v>
      </c>
    </row>
    <row r="123" customFormat="false" ht="17.5" hidden="false" customHeight="false" outlineLevel="0" collapsed="false">
      <c r="A123" s="23" t="s">
        <v>265</v>
      </c>
      <c r="B123" s="24" t="s">
        <v>57</v>
      </c>
      <c r="C123" s="23" t="n">
        <v>94990</v>
      </c>
      <c r="D123" s="41" t="s">
        <v>266</v>
      </c>
      <c r="E123" s="23" t="s">
        <v>49</v>
      </c>
      <c r="F123" s="36" t="n">
        <f aca="false">'MEMORIAL DE CALCULO'!F195</f>
        <v>1.31</v>
      </c>
      <c r="G123" s="37" t="n">
        <v>741.92</v>
      </c>
      <c r="H123" s="37" t="n">
        <f aca="false">F123*G123</f>
        <v>971.9152</v>
      </c>
      <c r="I123" s="38" t="n">
        <v>1.207</v>
      </c>
      <c r="J123" s="37" t="n">
        <f aca="false">ROUND(G123*I123,2)</f>
        <v>895.5</v>
      </c>
      <c r="K123" s="37" t="n">
        <f aca="false">J123*F123</f>
        <v>1173.105</v>
      </c>
    </row>
    <row r="124" customFormat="false" ht="17.5" hidden="false" customHeight="false" outlineLevel="0" collapsed="false">
      <c r="A124" s="23" t="s">
        <v>267</v>
      </c>
      <c r="B124" s="24" t="s">
        <v>57</v>
      </c>
      <c r="C124" s="23" t="n">
        <v>101094</v>
      </c>
      <c r="D124" s="41" t="s">
        <v>268</v>
      </c>
      <c r="E124" s="23" t="s">
        <v>24</v>
      </c>
      <c r="F124" s="36" t="n">
        <f aca="false">'MEMORIAL DE CALCULO'!F196</f>
        <v>4.6</v>
      </c>
      <c r="G124" s="37" t="n">
        <v>170.49</v>
      </c>
      <c r="H124" s="37" t="n">
        <f aca="false">F124*G124</f>
        <v>784.254</v>
      </c>
      <c r="I124" s="38" t="n">
        <v>1.207</v>
      </c>
      <c r="J124" s="37" t="n">
        <f aca="false">ROUND(G124*I124,2)</f>
        <v>205.78</v>
      </c>
      <c r="K124" s="37" t="n">
        <f aca="false">J124*F124</f>
        <v>946.588</v>
      </c>
    </row>
    <row r="125" customFormat="false" ht="17.5" hidden="false" customHeight="false" outlineLevel="0" collapsed="false">
      <c r="A125" s="32"/>
      <c r="B125" s="32"/>
      <c r="C125" s="32"/>
      <c r="D125" s="32"/>
      <c r="E125" s="32"/>
      <c r="F125" s="32"/>
      <c r="G125" s="33" t="s">
        <v>269</v>
      </c>
      <c r="H125" s="33"/>
      <c r="I125" s="33"/>
      <c r="J125" s="33"/>
      <c r="K125" s="34" t="n">
        <f aca="false">SUM(K117:K124)</f>
        <v>4258.14355</v>
      </c>
      <c r="L125" s="29"/>
      <c r="M125" s="29"/>
      <c r="N125" s="29"/>
      <c r="O125" s="29"/>
      <c r="P125" s="29"/>
    </row>
    <row r="126" customFormat="false" ht="17.5" hidden="false" customHeight="false" outlineLevel="0" collapsed="false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29"/>
      <c r="M126" s="29"/>
      <c r="N126" s="29"/>
      <c r="O126" s="29"/>
      <c r="P126" s="29"/>
    </row>
    <row r="127" customFormat="false" ht="17.5" hidden="false" customHeight="false" outlineLevel="0" collapsed="false">
      <c r="A127" s="20" t="s">
        <v>270</v>
      </c>
      <c r="B127" s="63" t="s">
        <v>271</v>
      </c>
      <c r="C127" s="63"/>
      <c r="D127" s="63"/>
      <c r="E127" s="63"/>
      <c r="F127" s="63"/>
      <c r="G127" s="63"/>
      <c r="H127" s="63"/>
      <c r="I127" s="63"/>
      <c r="J127" s="63"/>
      <c r="K127" s="63"/>
    </row>
    <row r="128" customFormat="false" ht="17.5" hidden="false" customHeight="false" outlineLevel="0" collapsed="false">
      <c r="A128" s="23" t="s">
        <v>272</v>
      </c>
      <c r="B128" s="30" t="s">
        <v>21</v>
      </c>
      <c r="C128" s="23" t="s">
        <v>273</v>
      </c>
      <c r="D128" s="41" t="s">
        <v>274</v>
      </c>
      <c r="E128" s="23" t="s">
        <v>49</v>
      </c>
      <c r="F128" s="36" t="n">
        <f aca="false">'MEMORIAL DE CALCULO'!F199</f>
        <v>58.5</v>
      </c>
      <c r="G128" s="37" t="n">
        <f aca="false">12.67/1.23</f>
        <v>10.3008130081301</v>
      </c>
      <c r="H128" s="37" t="n">
        <f aca="false">F128*G128</f>
        <v>602.59756097561</v>
      </c>
      <c r="I128" s="38" t="n">
        <v>1.207</v>
      </c>
      <c r="J128" s="37" t="n">
        <f aca="false">ROUND(G128*I128,2)</f>
        <v>12.43</v>
      </c>
      <c r="K128" s="37" t="n">
        <f aca="false">J128*F128</f>
        <v>727.155</v>
      </c>
    </row>
    <row r="129" customFormat="false" ht="17.5" hidden="false" customHeight="false" outlineLevel="0" collapsed="false">
      <c r="A129" s="23" t="s">
        <v>275</v>
      </c>
      <c r="B129" s="24" t="s">
        <v>57</v>
      </c>
      <c r="C129" s="23" t="n">
        <v>100324</v>
      </c>
      <c r="D129" s="41" t="s">
        <v>262</v>
      </c>
      <c r="E129" s="23" t="s">
        <v>49</v>
      </c>
      <c r="F129" s="36" t="n">
        <f aca="false">'MEMORIAL DE CALCULO'!F202</f>
        <v>19.5</v>
      </c>
      <c r="G129" s="37" t="n">
        <v>164.88</v>
      </c>
      <c r="H129" s="37" t="n">
        <f aca="false">F129*G129</f>
        <v>3215.16</v>
      </c>
      <c r="I129" s="38" t="n">
        <v>1.207</v>
      </c>
      <c r="J129" s="37" t="n">
        <f aca="false">ROUND(G129*I129,2)</f>
        <v>199.01</v>
      </c>
      <c r="K129" s="37" t="n">
        <f aca="false">J129*F129</f>
        <v>3880.695</v>
      </c>
    </row>
    <row r="130" customFormat="false" ht="17.5" hidden="false" customHeight="false" outlineLevel="0" collapsed="false">
      <c r="A130" s="23" t="s">
        <v>276</v>
      </c>
      <c r="B130" s="24" t="s">
        <v>57</v>
      </c>
      <c r="C130" s="23" t="n">
        <v>101749</v>
      </c>
      <c r="D130" s="41" t="s">
        <v>264</v>
      </c>
      <c r="E130" s="23" t="s">
        <v>19</v>
      </c>
      <c r="F130" s="36" t="n">
        <f aca="false">'MEMORIAL DE CALCULO'!F205</f>
        <v>195</v>
      </c>
      <c r="G130" s="37" t="n">
        <v>53.82</v>
      </c>
      <c r="H130" s="37" t="n">
        <f aca="false">F130*G130</f>
        <v>10494.9</v>
      </c>
      <c r="I130" s="38" t="n">
        <v>1.207</v>
      </c>
      <c r="J130" s="37" t="n">
        <f aca="false">ROUND(G130*I130,2)</f>
        <v>64.96</v>
      </c>
      <c r="K130" s="37" t="n">
        <f aca="false">J130*F130</f>
        <v>12667.2</v>
      </c>
    </row>
    <row r="131" customFormat="false" ht="17.5" hidden="false" customHeight="false" outlineLevel="0" collapsed="false">
      <c r="A131" s="23" t="s">
        <v>277</v>
      </c>
      <c r="B131" s="24" t="s">
        <v>64</v>
      </c>
      <c r="C131" s="23" t="n">
        <v>97113</v>
      </c>
      <c r="D131" s="25" t="s">
        <v>65</v>
      </c>
      <c r="E131" s="23" t="s">
        <v>19</v>
      </c>
      <c r="F131" s="26" t="n">
        <f aca="false">'MEMORIAL DE CALCULO'!F206</f>
        <v>195</v>
      </c>
      <c r="G131" s="27" t="n">
        <v>1.62</v>
      </c>
      <c r="H131" s="37" t="n">
        <f aca="false">F131*G131</f>
        <v>315.9</v>
      </c>
      <c r="I131" s="38" t="n">
        <v>1.207</v>
      </c>
      <c r="J131" s="37" t="n">
        <f aca="false">ROUND(G131*I131,2)</f>
        <v>1.96</v>
      </c>
      <c r="K131" s="37" t="n">
        <f aca="false">J131*F131</f>
        <v>382.2</v>
      </c>
      <c r="L131" s="29"/>
      <c r="M131" s="42"/>
      <c r="N131" s="29"/>
      <c r="O131" s="29"/>
      <c r="P131" s="29"/>
    </row>
    <row r="132" customFormat="false" ht="17.5" hidden="false" customHeight="false" outlineLevel="0" collapsed="false">
      <c r="A132" s="23" t="s">
        <v>278</v>
      </c>
      <c r="B132" s="30" t="s">
        <v>21</v>
      </c>
      <c r="C132" s="23" t="s">
        <v>69</v>
      </c>
      <c r="D132" s="25" t="s">
        <v>70</v>
      </c>
      <c r="E132" s="23" t="s">
        <v>19</v>
      </c>
      <c r="F132" s="26" t="n">
        <f aca="false">'MEMORIAL DE CALCULO'!F207</f>
        <v>195</v>
      </c>
      <c r="G132" s="27" t="n">
        <f aca="false">17.2/1.23</f>
        <v>13.9837398373984</v>
      </c>
      <c r="H132" s="37" t="n">
        <f aca="false">F132*G132</f>
        <v>2726.82926829268</v>
      </c>
      <c r="I132" s="38" t="n">
        <v>1.207</v>
      </c>
      <c r="J132" s="37" t="n">
        <f aca="false">ROUND(G132*I132,2)</f>
        <v>16.88</v>
      </c>
      <c r="K132" s="37" t="n">
        <f aca="false">J132*F132</f>
        <v>3291.6</v>
      </c>
      <c r="L132" s="29"/>
      <c r="M132" s="29"/>
      <c r="N132" s="29"/>
      <c r="O132" s="29"/>
      <c r="P132" s="29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</row>
    <row r="133" customFormat="false" ht="17.5" hidden="false" customHeight="false" outlineLevel="0" collapsed="false">
      <c r="A133" s="23" t="s">
        <v>279</v>
      </c>
      <c r="B133" s="24" t="s">
        <v>57</v>
      </c>
      <c r="C133" s="23" t="n">
        <v>94990</v>
      </c>
      <c r="D133" s="41" t="s">
        <v>266</v>
      </c>
      <c r="E133" s="23" t="s">
        <v>49</v>
      </c>
      <c r="F133" s="36" t="n">
        <f aca="false">'MEMORIAL DE CALCULO'!F208</f>
        <v>29.25</v>
      </c>
      <c r="G133" s="37" t="n">
        <v>741.92</v>
      </c>
      <c r="H133" s="37" t="n">
        <f aca="false">F133*G133</f>
        <v>21701.16</v>
      </c>
      <c r="I133" s="38" t="n">
        <v>1.207</v>
      </c>
      <c r="J133" s="37" t="n">
        <f aca="false">ROUND(G133*I133,2)</f>
        <v>895.5</v>
      </c>
      <c r="K133" s="37" t="n">
        <f aca="false">J133*F133</f>
        <v>26193.375</v>
      </c>
    </row>
    <row r="134" customFormat="false" ht="17.5" hidden="false" customHeight="false" outlineLevel="0" collapsed="false">
      <c r="A134" s="23" t="s">
        <v>280</v>
      </c>
      <c r="B134" s="30" t="s">
        <v>21</v>
      </c>
      <c r="C134" s="23" t="s">
        <v>281</v>
      </c>
      <c r="D134" s="41" t="s">
        <v>282</v>
      </c>
      <c r="E134" s="23" t="s">
        <v>19</v>
      </c>
      <c r="F134" s="36" t="n">
        <f aca="false">F130</f>
        <v>195</v>
      </c>
      <c r="G134" s="37" t="n">
        <f aca="false">34.18/1.23</f>
        <v>27.7886178861789</v>
      </c>
      <c r="H134" s="37" t="n">
        <f aca="false">F134*G134</f>
        <v>5418.78048780488</v>
      </c>
      <c r="I134" s="38" t="n">
        <v>1.207</v>
      </c>
      <c r="J134" s="37" t="n">
        <f aca="false">ROUND(G134*I134,2)</f>
        <v>33.54</v>
      </c>
      <c r="K134" s="37" t="n">
        <f aca="false">J134*F134</f>
        <v>6540.3</v>
      </c>
    </row>
    <row r="135" customFormat="false" ht="17.5" hidden="false" customHeight="false" outlineLevel="0" collapsed="false">
      <c r="A135" s="23" t="s">
        <v>283</v>
      </c>
      <c r="B135" s="24" t="s">
        <v>57</v>
      </c>
      <c r="C135" s="23" t="n">
        <v>101094</v>
      </c>
      <c r="D135" s="41" t="s">
        <v>268</v>
      </c>
      <c r="E135" s="23" t="s">
        <v>24</v>
      </c>
      <c r="F135" s="36" t="n">
        <f aca="false">'MEMORIAL DE CALCULO'!F209</f>
        <v>80</v>
      </c>
      <c r="G135" s="37" t="n">
        <v>170.4</v>
      </c>
      <c r="H135" s="37" t="n">
        <f aca="false">F135*G135</f>
        <v>13632</v>
      </c>
      <c r="I135" s="38" t="n">
        <v>1.207</v>
      </c>
      <c r="J135" s="37" t="n">
        <f aca="false">ROUND(G135*I135,2)</f>
        <v>205.67</v>
      </c>
      <c r="K135" s="37" t="n">
        <f aca="false">J135*F135</f>
        <v>16453.6</v>
      </c>
    </row>
    <row r="136" customFormat="false" ht="17.5" hidden="false" customHeight="false" outlineLevel="0" collapsed="false">
      <c r="A136" s="32"/>
      <c r="B136" s="32"/>
      <c r="C136" s="32"/>
      <c r="D136" s="32"/>
      <c r="E136" s="32"/>
      <c r="F136" s="32"/>
      <c r="G136" s="33" t="s">
        <v>284</v>
      </c>
      <c r="H136" s="33"/>
      <c r="I136" s="33"/>
      <c r="J136" s="33"/>
      <c r="K136" s="34" t="n">
        <f aca="false">SUM(K128:K135)</f>
        <v>70136.125</v>
      </c>
      <c r="L136" s="29"/>
      <c r="M136" s="29"/>
      <c r="N136" s="29"/>
      <c r="O136" s="29"/>
      <c r="P136" s="29"/>
    </row>
    <row r="137" customFormat="false" ht="17.5" hidden="false" customHeight="false" outlineLevel="0" collapsed="false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29"/>
      <c r="M137" s="29"/>
      <c r="N137" s="29"/>
      <c r="O137" s="29"/>
      <c r="P137" s="29"/>
    </row>
    <row r="138" customFormat="false" ht="17.5" hidden="false" customHeight="false" outlineLevel="0" collapsed="false">
      <c r="A138" s="20" t="s">
        <v>285</v>
      </c>
      <c r="B138" s="63" t="s">
        <v>286</v>
      </c>
      <c r="C138" s="63"/>
      <c r="D138" s="63"/>
      <c r="E138" s="63"/>
      <c r="F138" s="63"/>
      <c r="G138" s="63"/>
      <c r="H138" s="63"/>
      <c r="I138" s="63"/>
      <c r="J138" s="63"/>
      <c r="K138" s="63"/>
    </row>
    <row r="139" customFormat="false" ht="17.5" hidden="false" customHeight="false" outlineLevel="0" collapsed="false">
      <c r="A139" s="23" t="s">
        <v>287</v>
      </c>
      <c r="B139" s="30" t="s">
        <v>21</v>
      </c>
      <c r="C139" s="23" t="s">
        <v>251</v>
      </c>
      <c r="D139" s="41" t="s">
        <v>252</v>
      </c>
      <c r="E139" s="23" t="s">
        <v>49</v>
      </c>
      <c r="F139" s="36" t="n">
        <f aca="false">'MEMORIAL DE CALCULO'!F212</f>
        <v>8.1</v>
      </c>
      <c r="G139" s="37" t="n">
        <f aca="false">333.32/1.23</f>
        <v>270.991869918699</v>
      </c>
      <c r="H139" s="37" t="n">
        <f aca="false">F139*G139</f>
        <v>2195.03414634146</v>
      </c>
      <c r="I139" s="38" t="n">
        <v>1.207</v>
      </c>
      <c r="J139" s="37" t="n">
        <f aca="false">ROUND(G139*I139,2)</f>
        <v>327.09</v>
      </c>
      <c r="K139" s="37" t="n">
        <f aca="false">J139*F139</f>
        <v>2649.429</v>
      </c>
    </row>
    <row r="140" customFormat="false" ht="21.6" hidden="false" customHeight="false" outlineLevel="0" collapsed="false">
      <c r="A140" s="23" t="s">
        <v>59</v>
      </c>
      <c r="B140" s="31" t="s">
        <v>26</v>
      </c>
      <c r="C140" s="23" t="s">
        <v>47</v>
      </c>
      <c r="D140" s="25" t="s">
        <v>48</v>
      </c>
      <c r="E140" s="23" t="s">
        <v>49</v>
      </c>
      <c r="F140" s="36" t="n">
        <f aca="false">F139</f>
        <v>8.1</v>
      </c>
      <c r="G140" s="40" t="n">
        <v>126.6</v>
      </c>
      <c r="H140" s="27" t="n">
        <f aca="false">G140*F140</f>
        <v>1025.46</v>
      </c>
      <c r="I140" s="28" t="n">
        <v>1.207</v>
      </c>
      <c r="J140" s="27" t="n">
        <f aca="false">ROUND(G140*I140,2)</f>
        <v>152.81</v>
      </c>
      <c r="K140" s="27" t="n">
        <f aca="false">J140*F140</f>
        <v>1237.761</v>
      </c>
    </row>
    <row r="141" customFormat="false" ht="17.5" hidden="false" customHeight="false" outlineLevel="0" collapsed="false">
      <c r="A141" s="23" t="s">
        <v>60</v>
      </c>
      <c r="B141" s="31" t="s">
        <v>26</v>
      </c>
      <c r="C141" s="23" t="s">
        <v>51</v>
      </c>
      <c r="D141" s="41" t="s">
        <v>52</v>
      </c>
      <c r="E141" s="23" t="s">
        <v>49</v>
      </c>
      <c r="F141" s="36" t="n">
        <f aca="false">F139</f>
        <v>8.1</v>
      </c>
      <c r="G141" s="37" t="n">
        <v>30.55</v>
      </c>
      <c r="H141" s="27" t="n">
        <f aca="false">G141*F141</f>
        <v>247.455</v>
      </c>
      <c r="I141" s="28" t="n">
        <v>1.207</v>
      </c>
      <c r="J141" s="27" t="n">
        <f aca="false">ROUND(G141*I141,2)</f>
        <v>36.87</v>
      </c>
      <c r="K141" s="27" t="n">
        <f aca="false">J141*F141</f>
        <v>298.647</v>
      </c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customFormat="false" ht="17.5" hidden="false" customHeight="false" outlineLevel="0" collapsed="false">
      <c r="A142" s="23" t="s">
        <v>275</v>
      </c>
      <c r="B142" s="24" t="s">
        <v>57</v>
      </c>
      <c r="C142" s="23" t="n">
        <v>100324</v>
      </c>
      <c r="D142" s="41" t="s">
        <v>262</v>
      </c>
      <c r="E142" s="23" t="s">
        <v>49</v>
      </c>
      <c r="F142" s="36" t="n">
        <f aca="false">'MEMORIAL DE CALCULO'!F217</f>
        <v>2.7</v>
      </c>
      <c r="G142" s="37" t="n">
        <v>164.88</v>
      </c>
      <c r="H142" s="37" t="n">
        <f aca="false">F142*G142</f>
        <v>445.176</v>
      </c>
      <c r="I142" s="38" t="n">
        <v>1.207</v>
      </c>
      <c r="J142" s="37" t="n">
        <f aca="false">ROUND(G142*I142,2)</f>
        <v>199.01</v>
      </c>
      <c r="K142" s="37" t="n">
        <f aca="false">J142*F142</f>
        <v>537.327</v>
      </c>
    </row>
    <row r="143" customFormat="false" ht="17.5" hidden="false" customHeight="false" outlineLevel="0" collapsed="false">
      <c r="A143" s="23" t="s">
        <v>276</v>
      </c>
      <c r="B143" s="24" t="s">
        <v>57</v>
      </c>
      <c r="C143" s="23" t="n">
        <v>101749</v>
      </c>
      <c r="D143" s="41" t="s">
        <v>264</v>
      </c>
      <c r="E143" s="23" t="s">
        <v>19</v>
      </c>
      <c r="F143" s="36" t="n">
        <f aca="false">'MEMORIAL DE CALCULO'!F220</f>
        <v>54</v>
      </c>
      <c r="G143" s="37" t="n">
        <v>53.82</v>
      </c>
      <c r="H143" s="37" t="n">
        <f aca="false">F143*G143</f>
        <v>2906.28</v>
      </c>
      <c r="I143" s="38" t="n">
        <v>1.207</v>
      </c>
      <c r="J143" s="37" t="n">
        <f aca="false">ROUND(G143*I143,2)</f>
        <v>64.96</v>
      </c>
      <c r="K143" s="37" t="n">
        <f aca="false">J143*F143</f>
        <v>3507.84</v>
      </c>
    </row>
    <row r="144" customFormat="false" ht="17.5" hidden="false" customHeight="false" outlineLevel="0" collapsed="false">
      <c r="A144" s="23" t="s">
        <v>277</v>
      </c>
      <c r="B144" s="24" t="s">
        <v>64</v>
      </c>
      <c r="C144" s="23" t="n">
        <v>97113</v>
      </c>
      <c r="D144" s="25" t="s">
        <v>65</v>
      </c>
      <c r="E144" s="23" t="s">
        <v>19</v>
      </c>
      <c r="F144" s="26" t="n">
        <f aca="false">F143</f>
        <v>54</v>
      </c>
      <c r="G144" s="27" t="n">
        <v>1.62</v>
      </c>
      <c r="H144" s="37" t="n">
        <f aca="false">F144*G144</f>
        <v>87.48</v>
      </c>
      <c r="I144" s="38" t="n">
        <v>1.207</v>
      </c>
      <c r="J144" s="37" t="n">
        <f aca="false">ROUND(G144*I144,2)</f>
        <v>1.96</v>
      </c>
      <c r="K144" s="37" t="n">
        <f aca="false">J144*F144</f>
        <v>105.84</v>
      </c>
      <c r="L144" s="29"/>
      <c r="M144" s="42"/>
      <c r="N144" s="29"/>
      <c r="O144" s="29"/>
      <c r="P144" s="29"/>
    </row>
    <row r="145" customFormat="false" ht="17.5" hidden="false" customHeight="false" outlineLevel="0" collapsed="false">
      <c r="A145" s="23" t="s">
        <v>278</v>
      </c>
      <c r="B145" s="30" t="s">
        <v>21</v>
      </c>
      <c r="C145" s="23" t="s">
        <v>69</v>
      </c>
      <c r="D145" s="25" t="s">
        <v>70</v>
      </c>
      <c r="E145" s="23" t="s">
        <v>19</v>
      </c>
      <c r="F145" s="26" t="n">
        <f aca="false">F144</f>
        <v>54</v>
      </c>
      <c r="G145" s="27" t="n">
        <f aca="false">17.2/1.23</f>
        <v>13.9837398373984</v>
      </c>
      <c r="H145" s="37" t="n">
        <f aca="false">F145*G145</f>
        <v>755.121951219512</v>
      </c>
      <c r="I145" s="38" t="n">
        <v>1.207</v>
      </c>
      <c r="J145" s="37" t="n">
        <f aca="false">ROUND(G145*I145,2)</f>
        <v>16.88</v>
      </c>
      <c r="K145" s="37" t="n">
        <f aca="false">J145*F145</f>
        <v>911.52</v>
      </c>
      <c r="L145" s="29"/>
      <c r="M145" s="29"/>
      <c r="N145" s="29"/>
      <c r="O145" s="29"/>
      <c r="P145" s="29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</row>
    <row r="146" customFormat="false" ht="17.5" hidden="false" customHeight="false" outlineLevel="0" collapsed="false">
      <c r="A146" s="23" t="s">
        <v>280</v>
      </c>
      <c r="B146" s="30" t="s">
        <v>21</v>
      </c>
      <c r="C146" s="23" t="s">
        <v>281</v>
      </c>
      <c r="D146" s="41" t="s">
        <v>282</v>
      </c>
      <c r="E146" s="23" t="s">
        <v>19</v>
      </c>
      <c r="F146" s="36" t="n">
        <f aca="false">F143</f>
        <v>54</v>
      </c>
      <c r="G146" s="37" t="n">
        <f aca="false">34.18/1.23</f>
        <v>27.7886178861789</v>
      </c>
      <c r="H146" s="37" t="n">
        <f aca="false">F146*G146</f>
        <v>1500.58536585366</v>
      </c>
      <c r="I146" s="38" t="n">
        <v>1.207</v>
      </c>
      <c r="J146" s="37" t="n">
        <f aca="false">ROUND(G146*I146,2)</f>
        <v>33.54</v>
      </c>
      <c r="K146" s="37" t="n">
        <f aca="false">J146*F146</f>
        <v>1811.16</v>
      </c>
    </row>
    <row r="147" customFormat="false" ht="17.5" hidden="false" customHeight="false" outlineLevel="0" collapsed="false">
      <c r="A147" s="32"/>
      <c r="B147" s="32"/>
      <c r="C147" s="32"/>
      <c r="D147" s="32"/>
      <c r="E147" s="32"/>
      <c r="F147" s="32"/>
      <c r="G147" s="33" t="s">
        <v>288</v>
      </c>
      <c r="H147" s="33"/>
      <c r="I147" s="33"/>
      <c r="J147" s="33"/>
      <c r="K147" s="34" t="n">
        <f aca="false">SUM(K139:K146)</f>
        <v>11059.524</v>
      </c>
      <c r="L147" s="29"/>
      <c r="M147" s="29"/>
      <c r="N147" s="29"/>
      <c r="O147" s="29"/>
      <c r="P147" s="29"/>
    </row>
    <row r="148" customFormat="false" ht="17.5" hidden="false" customHeight="false" outlineLevel="0" collapsed="false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29"/>
      <c r="M148" s="29"/>
      <c r="N148" s="29"/>
      <c r="O148" s="29"/>
      <c r="P148" s="29"/>
    </row>
    <row r="149" customFormat="false" ht="17.5" hidden="false" customHeight="false" outlineLevel="0" collapsed="false">
      <c r="A149" s="20" t="s">
        <v>289</v>
      </c>
      <c r="B149" s="63" t="s">
        <v>290</v>
      </c>
      <c r="C149" s="63"/>
      <c r="D149" s="63"/>
      <c r="E149" s="63"/>
      <c r="F149" s="63"/>
      <c r="G149" s="63"/>
      <c r="H149" s="63"/>
      <c r="I149" s="63"/>
      <c r="J149" s="63"/>
      <c r="K149" s="63"/>
    </row>
    <row r="150" customFormat="false" ht="21.6" hidden="false" customHeight="false" outlineLevel="0" collapsed="false">
      <c r="A150" s="23" t="s">
        <v>291</v>
      </c>
      <c r="B150" s="24" t="s">
        <v>57</v>
      </c>
      <c r="C150" s="23" t="n">
        <v>103195</v>
      </c>
      <c r="D150" s="41" t="s">
        <v>292</v>
      </c>
      <c r="E150" s="23" t="s">
        <v>39</v>
      </c>
      <c r="F150" s="36" t="n">
        <v>1</v>
      </c>
      <c r="G150" s="37" t="n">
        <v>2209.51</v>
      </c>
      <c r="H150" s="37" t="n">
        <f aca="false">F150*G150</f>
        <v>2209.51</v>
      </c>
      <c r="I150" s="38" t="n">
        <v>1.207</v>
      </c>
      <c r="J150" s="37" t="n">
        <f aca="false">ROUND(G150*I150,2)</f>
        <v>2666.88</v>
      </c>
      <c r="K150" s="37" t="n">
        <f aca="false">J150*F150</f>
        <v>2666.88</v>
      </c>
    </row>
    <row r="151" customFormat="false" ht="21.6" hidden="false" customHeight="false" outlineLevel="0" collapsed="false">
      <c r="A151" s="23" t="s">
        <v>293</v>
      </c>
      <c r="B151" s="24" t="s">
        <v>57</v>
      </c>
      <c r="C151" s="23" t="n">
        <v>103190</v>
      </c>
      <c r="D151" s="41" t="s">
        <v>294</v>
      </c>
      <c r="E151" s="23" t="s">
        <v>39</v>
      </c>
      <c r="F151" s="36" t="n">
        <v>2</v>
      </c>
      <c r="G151" s="37" t="n">
        <v>4100.6</v>
      </c>
      <c r="H151" s="37" t="n">
        <f aca="false">F151*G151</f>
        <v>8201.2</v>
      </c>
      <c r="I151" s="38" t="n">
        <v>1.207</v>
      </c>
      <c r="J151" s="37" t="n">
        <f aca="false">ROUND(G151*I151,2)</f>
        <v>4949.42</v>
      </c>
      <c r="K151" s="37" t="n">
        <f aca="false">J151*F151</f>
        <v>9898.84</v>
      </c>
    </row>
    <row r="152" customFormat="false" ht="21.6" hidden="false" customHeight="false" outlineLevel="0" collapsed="false">
      <c r="A152" s="23" t="s">
        <v>295</v>
      </c>
      <c r="B152" s="24" t="s">
        <v>57</v>
      </c>
      <c r="C152" s="23" t="n">
        <v>103206</v>
      </c>
      <c r="D152" s="41" t="s">
        <v>296</v>
      </c>
      <c r="E152" s="23" t="s">
        <v>39</v>
      </c>
      <c r="F152" s="36" t="n">
        <v>1</v>
      </c>
      <c r="G152" s="37" t="n">
        <v>2414.68</v>
      </c>
      <c r="H152" s="37" t="n">
        <f aca="false">F152*G152</f>
        <v>2414.68</v>
      </c>
      <c r="I152" s="38" t="n">
        <v>1.207</v>
      </c>
      <c r="J152" s="37" t="n">
        <f aca="false">ROUND(G152*I152,2)</f>
        <v>2914.52</v>
      </c>
      <c r="K152" s="37" t="n">
        <f aca="false">J152*F152</f>
        <v>2914.52</v>
      </c>
    </row>
    <row r="153" customFormat="false" ht="21.6" hidden="false" customHeight="false" outlineLevel="0" collapsed="false">
      <c r="A153" s="23" t="s">
        <v>297</v>
      </c>
      <c r="B153" s="24" t="s">
        <v>57</v>
      </c>
      <c r="C153" s="23" t="n">
        <v>103205</v>
      </c>
      <c r="D153" s="41" t="s">
        <v>298</v>
      </c>
      <c r="E153" s="23" t="s">
        <v>39</v>
      </c>
      <c r="F153" s="36" t="n">
        <v>1</v>
      </c>
      <c r="G153" s="37" t="n">
        <v>4121.76</v>
      </c>
      <c r="H153" s="37" t="n">
        <f aca="false">F153*G153</f>
        <v>4121.76</v>
      </c>
      <c r="I153" s="38" t="n">
        <v>1.207</v>
      </c>
      <c r="J153" s="37" t="n">
        <f aca="false">ROUND(G153*I153,2)</f>
        <v>4974.96</v>
      </c>
      <c r="K153" s="37" t="n">
        <f aca="false">J153*F153</f>
        <v>4974.96</v>
      </c>
    </row>
    <row r="154" customFormat="false" ht="21.6" hidden="false" customHeight="false" outlineLevel="0" collapsed="false">
      <c r="A154" s="23" t="s">
        <v>299</v>
      </c>
      <c r="B154" s="24" t="s">
        <v>57</v>
      </c>
      <c r="C154" s="23" t="n">
        <v>103194</v>
      </c>
      <c r="D154" s="41" t="s">
        <v>300</v>
      </c>
      <c r="E154" s="23" t="s">
        <v>39</v>
      </c>
      <c r="F154" s="36" t="n">
        <v>2</v>
      </c>
      <c r="G154" s="37" t="n">
        <v>2823.87</v>
      </c>
      <c r="H154" s="37" t="n">
        <f aca="false">F154*G154</f>
        <v>5647.74</v>
      </c>
      <c r="I154" s="38" t="n">
        <v>1.207</v>
      </c>
      <c r="J154" s="37" t="n">
        <f aca="false">ROUND(G154*I154,2)</f>
        <v>3408.41</v>
      </c>
      <c r="K154" s="37" t="n">
        <f aca="false">J154*F154</f>
        <v>6816.82</v>
      </c>
    </row>
    <row r="155" customFormat="false" ht="21.6" hidden="false" customHeight="false" outlineLevel="0" collapsed="false">
      <c r="A155" s="23" t="s">
        <v>301</v>
      </c>
      <c r="B155" s="24" t="s">
        <v>57</v>
      </c>
      <c r="C155" s="23" t="n">
        <v>103193</v>
      </c>
      <c r="D155" s="41" t="s">
        <v>302</v>
      </c>
      <c r="E155" s="23" t="s">
        <v>39</v>
      </c>
      <c r="F155" s="36" t="n">
        <v>1</v>
      </c>
      <c r="G155" s="37" t="n">
        <v>1965.9</v>
      </c>
      <c r="H155" s="37" t="n">
        <f aca="false">F155*G155</f>
        <v>1965.9</v>
      </c>
      <c r="I155" s="38" t="n">
        <v>1.207</v>
      </c>
      <c r="J155" s="37" t="n">
        <f aca="false">ROUND(G155*I155,2)</f>
        <v>2372.84</v>
      </c>
      <c r="K155" s="37" t="n">
        <f aca="false">J155*F155</f>
        <v>2372.84</v>
      </c>
    </row>
    <row r="156" customFormat="false" ht="21.6" hidden="false" customHeight="false" outlineLevel="0" collapsed="false">
      <c r="A156" s="23" t="s">
        <v>303</v>
      </c>
      <c r="B156" s="24" t="s">
        <v>57</v>
      </c>
      <c r="C156" s="23" t="n">
        <v>103192</v>
      </c>
      <c r="D156" s="41" t="s">
        <v>304</v>
      </c>
      <c r="E156" s="23" t="s">
        <v>39</v>
      </c>
      <c r="F156" s="36" t="n">
        <v>2</v>
      </c>
      <c r="G156" s="37" t="n">
        <v>2547.17</v>
      </c>
      <c r="H156" s="37" t="n">
        <f aca="false">F156*G156</f>
        <v>5094.34</v>
      </c>
      <c r="I156" s="38" t="n">
        <v>1.207</v>
      </c>
      <c r="J156" s="37" t="n">
        <f aca="false">ROUND(G156*I156,2)</f>
        <v>3074.43</v>
      </c>
      <c r="K156" s="37" t="n">
        <f aca="false">J156*F156</f>
        <v>6148.86</v>
      </c>
    </row>
    <row r="157" customFormat="false" ht="17.5" hidden="false" customHeight="false" outlineLevel="0" collapsed="false">
      <c r="A157" s="32"/>
      <c r="B157" s="32"/>
      <c r="C157" s="32"/>
      <c r="D157" s="32"/>
      <c r="E157" s="32"/>
      <c r="F157" s="32"/>
      <c r="G157" s="33" t="s">
        <v>305</v>
      </c>
      <c r="H157" s="33"/>
      <c r="I157" s="33"/>
      <c r="J157" s="33"/>
      <c r="K157" s="34" t="n">
        <f aca="false">SUM(K150:K156)</f>
        <v>35793.72</v>
      </c>
      <c r="L157" s="29"/>
      <c r="M157" s="29"/>
      <c r="N157" s="29"/>
      <c r="O157" s="29"/>
      <c r="P157" s="29"/>
    </row>
    <row r="158" customFormat="false" ht="17.5" hidden="false" customHeight="false" outlineLevel="0" collapsed="false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29"/>
      <c r="M158" s="29"/>
      <c r="N158" s="29"/>
      <c r="O158" s="29"/>
      <c r="P158" s="29"/>
    </row>
    <row r="159" customFormat="false" ht="17.5" hidden="false" customHeight="false" outlineLevel="0" collapsed="false">
      <c r="A159" s="20" t="s">
        <v>306</v>
      </c>
      <c r="B159" s="21" t="s">
        <v>307</v>
      </c>
      <c r="C159" s="21"/>
      <c r="D159" s="21"/>
      <c r="E159" s="21"/>
      <c r="F159" s="21"/>
      <c r="G159" s="21"/>
      <c r="H159" s="21"/>
      <c r="I159" s="21"/>
      <c r="J159" s="21"/>
      <c r="K159" s="22"/>
    </row>
    <row r="160" customFormat="false" ht="17.5" hidden="false" customHeight="false" outlineLevel="0" collapsed="false">
      <c r="A160" s="43" t="s">
        <v>97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4" t="n">
        <f aca="false">SUM(K161:K169)</f>
        <v>21190.0075758</v>
      </c>
      <c r="L160" s="29"/>
      <c r="M160" s="29"/>
      <c r="N160" s="29"/>
      <c r="O160" s="29"/>
      <c r="P160" s="29"/>
    </row>
    <row r="161" customFormat="false" ht="17.5" hidden="false" customHeight="false" outlineLevel="0" collapsed="false">
      <c r="A161" s="23" t="s">
        <v>308</v>
      </c>
      <c r="B161" s="45" t="s">
        <v>21</v>
      </c>
      <c r="C161" s="23" t="s">
        <v>99</v>
      </c>
      <c r="D161" s="25" t="s">
        <v>100</v>
      </c>
      <c r="E161" s="23" t="s">
        <v>24</v>
      </c>
      <c r="F161" s="26" t="n">
        <f aca="false">'MEMORIAL DE CALCULO'!F236</f>
        <v>60</v>
      </c>
      <c r="G161" s="27" t="n">
        <f aca="false">78.5/1.23</f>
        <v>63.8211382113821</v>
      </c>
      <c r="H161" s="27" t="n">
        <f aca="false">G161*F161</f>
        <v>3829.26829268293</v>
      </c>
      <c r="I161" s="28" t="n">
        <v>1.207</v>
      </c>
      <c r="J161" s="27" t="n">
        <f aca="false">ROUND(G161*I161,2)</f>
        <v>77.03</v>
      </c>
      <c r="K161" s="27" t="n">
        <f aca="false">J161*F161</f>
        <v>4621.8</v>
      </c>
      <c r="L161" s="29"/>
      <c r="M161" s="29"/>
      <c r="N161" s="29"/>
      <c r="O161" s="29"/>
      <c r="P161" s="29"/>
    </row>
    <row r="162" customFormat="false" ht="17.5" hidden="false" customHeight="false" outlineLevel="0" collapsed="false">
      <c r="A162" s="23" t="s">
        <v>309</v>
      </c>
      <c r="B162" s="24" t="s">
        <v>57</v>
      </c>
      <c r="C162" s="23" t="n">
        <v>92800</v>
      </c>
      <c r="D162" s="25" t="s">
        <v>102</v>
      </c>
      <c r="E162" s="23" t="s">
        <v>103</v>
      </c>
      <c r="F162" s="26" t="n">
        <f aca="false">'MEMORIAL DE CALCULO'!F241</f>
        <v>64.064</v>
      </c>
      <c r="G162" s="27" t="n">
        <v>10.04</v>
      </c>
      <c r="H162" s="27" t="n">
        <f aca="false">G162*F162</f>
        <v>643.20256</v>
      </c>
      <c r="I162" s="28" t="n">
        <v>1.207</v>
      </c>
      <c r="J162" s="27" t="n">
        <f aca="false">ROUND(G162*I162,2)</f>
        <v>12.12</v>
      </c>
      <c r="K162" s="27" t="n">
        <f aca="false">J162*F162</f>
        <v>776.45568</v>
      </c>
      <c r="L162" s="29"/>
      <c r="M162" s="29"/>
      <c r="N162" s="29"/>
      <c r="O162" s="29"/>
      <c r="P162" s="29"/>
    </row>
    <row r="163" customFormat="false" ht="17.5" hidden="false" customHeight="false" outlineLevel="0" collapsed="false">
      <c r="A163" s="23" t="s">
        <v>310</v>
      </c>
      <c r="B163" s="24" t="s">
        <v>57</v>
      </c>
      <c r="C163" s="23" t="n">
        <v>92803</v>
      </c>
      <c r="D163" s="25" t="s">
        <v>105</v>
      </c>
      <c r="E163" s="23" t="s">
        <v>103</v>
      </c>
      <c r="F163" s="26" t="n">
        <f aca="false">'MEMORIAL DE CALCULO'!F247</f>
        <v>148.08</v>
      </c>
      <c r="G163" s="27" t="n">
        <v>8.88</v>
      </c>
      <c r="H163" s="27" t="n">
        <f aca="false">G163*F163</f>
        <v>1314.9504</v>
      </c>
      <c r="I163" s="28" t="n">
        <v>1.207</v>
      </c>
      <c r="J163" s="27" t="n">
        <f aca="false">ROUND(G163*I163,2)</f>
        <v>10.72</v>
      </c>
      <c r="K163" s="27" t="n">
        <f aca="false">J163*F163</f>
        <v>1587.4176</v>
      </c>
      <c r="L163" s="29"/>
      <c r="M163" s="29"/>
      <c r="N163" s="29"/>
      <c r="O163" s="29"/>
      <c r="P163" s="2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customFormat="false" ht="17.5" hidden="false" customHeight="false" outlineLevel="0" collapsed="false">
      <c r="A164" s="23" t="s">
        <v>311</v>
      </c>
      <c r="B164" s="24" t="s">
        <v>57</v>
      </c>
      <c r="C164" s="23" t="n">
        <v>96526</v>
      </c>
      <c r="D164" s="25" t="s">
        <v>107</v>
      </c>
      <c r="E164" s="23" t="s">
        <v>49</v>
      </c>
      <c r="F164" s="26" t="n">
        <f aca="false">'MEMORIAL DE CALCULO'!F251</f>
        <v>5.832</v>
      </c>
      <c r="G164" s="27" t="n">
        <v>266.21</v>
      </c>
      <c r="H164" s="27" t="n">
        <f aca="false">G164*F164</f>
        <v>1552.53672</v>
      </c>
      <c r="I164" s="28" t="n">
        <v>1.207</v>
      </c>
      <c r="J164" s="27" t="n">
        <f aca="false">ROUND(G164*I164,2)</f>
        <v>321.32</v>
      </c>
      <c r="K164" s="27" t="n">
        <f aca="false">J164*F164</f>
        <v>1873.93824</v>
      </c>
      <c r="L164" s="29"/>
      <c r="M164" s="29"/>
      <c r="N164" s="29"/>
      <c r="O164" s="29"/>
      <c r="P164" s="29"/>
    </row>
    <row r="165" customFormat="false" ht="17.5" hidden="false" customHeight="false" outlineLevel="0" collapsed="false">
      <c r="A165" s="23" t="s">
        <v>312</v>
      </c>
      <c r="B165" s="24" t="s">
        <v>57</v>
      </c>
      <c r="C165" s="23" t="n">
        <v>101619</v>
      </c>
      <c r="D165" s="25" t="s">
        <v>109</v>
      </c>
      <c r="E165" s="23" t="s">
        <v>49</v>
      </c>
      <c r="F165" s="26" t="n">
        <f aca="false">'MEMORIAL DE CALCULO'!F255</f>
        <v>1.458</v>
      </c>
      <c r="G165" s="27" t="n">
        <v>297.55</v>
      </c>
      <c r="H165" s="27" t="n">
        <f aca="false">G165*F165</f>
        <v>433.8279</v>
      </c>
      <c r="I165" s="28" t="n">
        <v>1.207</v>
      </c>
      <c r="J165" s="27" t="n">
        <f aca="false">ROUND(G165*I165,2)</f>
        <v>359.14</v>
      </c>
      <c r="K165" s="27" t="n">
        <f aca="false">J165*F165</f>
        <v>523.62612</v>
      </c>
      <c r="L165" s="29"/>
      <c r="M165" s="29"/>
      <c r="N165" s="29"/>
      <c r="O165" s="29"/>
      <c r="P165" s="29"/>
      <c r="XEW165" s="46"/>
      <c r="XEX165" s="46"/>
      <c r="XEY165" s="46"/>
      <c r="XEZ165" s="46"/>
      <c r="XFA165" s="46"/>
      <c r="XFB165" s="46"/>
      <c r="XFC165" s="46"/>
      <c r="XFD165" s="46"/>
    </row>
    <row r="166" customFormat="false" ht="17.5" hidden="false" customHeight="false" outlineLevel="0" collapsed="false">
      <c r="A166" s="23" t="s">
        <v>313</v>
      </c>
      <c r="B166" s="24" t="s">
        <v>57</v>
      </c>
      <c r="C166" s="23" t="n">
        <v>92800</v>
      </c>
      <c r="D166" s="25" t="s">
        <v>102</v>
      </c>
      <c r="E166" s="23" t="s">
        <v>103</v>
      </c>
      <c r="F166" s="26" t="n">
        <f aca="false">'MEMORIAL DE CALCULO'!F257</f>
        <v>71.85024</v>
      </c>
      <c r="G166" s="27" t="n">
        <v>10.04</v>
      </c>
      <c r="H166" s="27" t="n">
        <f aca="false">G166*F166</f>
        <v>721.3764096</v>
      </c>
      <c r="I166" s="28" t="n">
        <v>1.207</v>
      </c>
      <c r="J166" s="27" t="n">
        <f aca="false">ROUND(G166*I166,2)</f>
        <v>12.12</v>
      </c>
      <c r="K166" s="27" t="n">
        <f aca="false">J166*F166</f>
        <v>870.8249088</v>
      </c>
      <c r="L166" s="29"/>
      <c r="M166" s="29"/>
      <c r="N166" s="29"/>
      <c r="O166" s="29"/>
      <c r="P166" s="29"/>
      <c r="XEW166" s="46"/>
      <c r="XEX166" s="46"/>
      <c r="XEY166" s="46"/>
      <c r="XEZ166" s="46"/>
      <c r="XFA166" s="46"/>
      <c r="XFB166" s="46"/>
      <c r="XFC166" s="46"/>
      <c r="XFD166" s="46"/>
    </row>
    <row r="167" customFormat="false" ht="17.5" hidden="false" customHeight="false" outlineLevel="0" collapsed="false">
      <c r="A167" s="23" t="s">
        <v>314</v>
      </c>
      <c r="B167" s="24" t="s">
        <v>57</v>
      </c>
      <c r="C167" s="23" t="n">
        <v>92803</v>
      </c>
      <c r="D167" s="25" t="s">
        <v>105</v>
      </c>
      <c r="E167" s="23" t="s">
        <v>103</v>
      </c>
      <c r="F167" s="26" t="n">
        <f aca="false">'MEMORIAL DE CALCULO'!F262</f>
        <v>119.9448</v>
      </c>
      <c r="G167" s="27" t="n">
        <v>8.88</v>
      </c>
      <c r="H167" s="27" t="n">
        <f aca="false">G167*F167</f>
        <v>1065.109824</v>
      </c>
      <c r="I167" s="28" t="n">
        <v>1.207</v>
      </c>
      <c r="J167" s="27" t="n">
        <f aca="false">ROUND(G167*I167,2)</f>
        <v>10.72</v>
      </c>
      <c r="K167" s="27" t="n">
        <f aca="false">J167*F167</f>
        <v>1285.808256</v>
      </c>
      <c r="L167" s="29"/>
      <c r="M167" s="29"/>
      <c r="N167" s="29"/>
      <c r="O167" s="29"/>
      <c r="P167" s="2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customFormat="false" ht="17.5" hidden="false" customHeight="false" outlineLevel="0" collapsed="false">
      <c r="A168" s="23" t="s">
        <v>315</v>
      </c>
      <c r="B168" s="47" t="s">
        <v>57</v>
      </c>
      <c r="C168" s="48" t="n">
        <v>96557</v>
      </c>
      <c r="D168" s="49" t="s">
        <v>113</v>
      </c>
      <c r="E168" s="48" t="s">
        <v>49</v>
      </c>
      <c r="F168" s="50" t="n">
        <f aca="false">'MEMORIAL DE CALCULO'!F266</f>
        <v>5.832</v>
      </c>
      <c r="G168" s="51" t="n">
        <v>619.17</v>
      </c>
      <c r="H168" s="27" t="n">
        <f aca="false">G168*F168</f>
        <v>3610.99944</v>
      </c>
      <c r="I168" s="28" t="n">
        <v>1.207</v>
      </c>
      <c r="J168" s="51" t="n">
        <f aca="false">ROUND(G168*I168,2)</f>
        <v>747.34</v>
      </c>
      <c r="K168" s="27" t="n">
        <f aca="false">J168*F168</f>
        <v>4358.48688</v>
      </c>
      <c r="L168" s="52"/>
      <c r="M168" s="52"/>
      <c r="N168" s="52"/>
      <c r="O168" s="52"/>
      <c r="P168" s="52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</row>
    <row r="169" customFormat="false" ht="17.5" hidden="false" customHeight="false" outlineLevel="0" collapsed="false">
      <c r="A169" s="23" t="s">
        <v>316</v>
      </c>
      <c r="B169" s="24" t="s">
        <v>57</v>
      </c>
      <c r="C169" s="23" t="n">
        <v>101165</v>
      </c>
      <c r="D169" s="25" t="s">
        <v>115</v>
      </c>
      <c r="E169" s="23" t="s">
        <v>49</v>
      </c>
      <c r="F169" s="26" t="n">
        <f aca="false">'MEMORIAL DE CALCULO'!F267</f>
        <v>4.1553</v>
      </c>
      <c r="G169" s="27" t="n">
        <v>1055.07</v>
      </c>
      <c r="H169" s="27" t="n">
        <f aca="false">G169*F169</f>
        <v>4384.132371</v>
      </c>
      <c r="I169" s="28" t="n">
        <v>1.207</v>
      </c>
      <c r="J169" s="27" t="n">
        <f aca="false">ROUND(G169*I169,2)</f>
        <v>1273.47</v>
      </c>
      <c r="K169" s="27" t="n">
        <f aca="false">J169*F169</f>
        <v>5291.649891</v>
      </c>
      <c r="L169" s="29"/>
      <c r="M169" s="29"/>
      <c r="N169" s="29"/>
      <c r="O169" s="29"/>
      <c r="P169" s="29"/>
    </row>
    <row r="170" customFormat="false" ht="17.5" hidden="false" customHeight="false" outlineLevel="0" collapsed="false">
      <c r="A170" s="43" t="s">
        <v>116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4" t="n">
        <f aca="false">SUM(K171:K182)</f>
        <v>65734.807739</v>
      </c>
      <c r="L170" s="29"/>
      <c r="M170" s="29"/>
      <c r="N170" s="29"/>
      <c r="O170" s="29"/>
      <c r="P170" s="29"/>
    </row>
    <row r="171" customFormat="false" ht="21.6" hidden="false" customHeight="false" outlineLevel="0" collapsed="false">
      <c r="A171" s="23" t="s">
        <v>317</v>
      </c>
      <c r="B171" s="24" t="s">
        <v>57</v>
      </c>
      <c r="C171" s="23" t="n">
        <v>92415</v>
      </c>
      <c r="D171" s="25" t="s">
        <v>118</v>
      </c>
      <c r="E171" s="23" t="s">
        <v>19</v>
      </c>
      <c r="F171" s="26" t="n">
        <f aca="false">'MEMORIAL DE CALCULO'!F271</f>
        <v>26.25</v>
      </c>
      <c r="G171" s="27" t="n">
        <v>143.7</v>
      </c>
      <c r="H171" s="27" t="n">
        <f aca="false">G171*F171</f>
        <v>3772.125</v>
      </c>
      <c r="I171" s="28" t="n">
        <v>1.207</v>
      </c>
      <c r="J171" s="27" t="n">
        <f aca="false">ROUND(G171*I171,2)</f>
        <v>173.45</v>
      </c>
      <c r="K171" s="27" t="n">
        <f aca="false">J171*F171</f>
        <v>4553.0625</v>
      </c>
      <c r="L171" s="29"/>
      <c r="M171" s="29"/>
      <c r="N171" s="29"/>
      <c r="O171" s="29"/>
      <c r="P171" s="2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customFormat="false" ht="17.5" hidden="false" customHeight="false" outlineLevel="0" collapsed="false">
      <c r="A172" s="23" t="s">
        <v>318</v>
      </c>
      <c r="B172" s="24" t="s">
        <v>57</v>
      </c>
      <c r="C172" s="23" t="n">
        <v>92800</v>
      </c>
      <c r="D172" s="25" t="s">
        <v>102</v>
      </c>
      <c r="E172" s="23" t="s">
        <v>103</v>
      </c>
      <c r="F172" s="26" t="n">
        <f aca="false">'MEMORIAL DE CALCULO'!F276</f>
        <v>56.056</v>
      </c>
      <c r="G172" s="27" t="n">
        <v>10.04</v>
      </c>
      <c r="H172" s="27" t="n">
        <f aca="false">G172*F172</f>
        <v>562.80224</v>
      </c>
      <c r="I172" s="28" t="n">
        <v>1.207</v>
      </c>
      <c r="J172" s="27" t="n">
        <f aca="false">ROUND(G172*I172,2)</f>
        <v>12.12</v>
      </c>
      <c r="K172" s="27" t="n">
        <f aca="false">J172*F172</f>
        <v>679.39872</v>
      </c>
      <c r="L172" s="29"/>
      <c r="M172" s="29"/>
      <c r="N172" s="29"/>
      <c r="O172" s="29"/>
      <c r="P172" s="29"/>
    </row>
    <row r="173" customFormat="false" ht="17.5" hidden="false" customHeight="false" outlineLevel="0" collapsed="false">
      <c r="A173" s="23" t="s">
        <v>319</v>
      </c>
      <c r="B173" s="24" t="s">
        <v>57</v>
      </c>
      <c r="C173" s="23" t="n">
        <v>92803</v>
      </c>
      <c r="D173" s="25" t="s">
        <v>105</v>
      </c>
      <c r="E173" s="23" t="s">
        <v>103</v>
      </c>
      <c r="F173" s="26" t="n">
        <f aca="false">'MEMORIAL DE CALCULO'!F281</f>
        <v>129.57</v>
      </c>
      <c r="G173" s="27" t="n">
        <v>8.88</v>
      </c>
      <c r="H173" s="27" t="n">
        <f aca="false">G173*F173</f>
        <v>1150.5816</v>
      </c>
      <c r="I173" s="28" t="n">
        <v>1.207</v>
      </c>
      <c r="J173" s="27" t="n">
        <f aca="false">ROUND(G173*I173,2)</f>
        <v>10.72</v>
      </c>
      <c r="K173" s="27" t="n">
        <f aca="false">J173*F173</f>
        <v>1388.9904</v>
      </c>
      <c r="L173" s="29"/>
      <c r="M173" s="29"/>
      <c r="N173" s="29"/>
      <c r="O173" s="29"/>
      <c r="P173" s="2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customFormat="false" ht="17.5" hidden="false" customHeight="false" outlineLevel="0" collapsed="false">
      <c r="A174" s="23" t="s">
        <v>320</v>
      </c>
      <c r="B174" s="24" t="s">
        <v>57</v>
      </c>
      <c r="C174" s="23" t="n">
        <v>103672</v>
      </c>
      <c r="D174" s="25" t="s">
        <v>122</v>
      </c>
      <c r="E174" s="23" t="s">
        <v>49</v>
      </c>
      <c r="F174" s="26" t="n">
        <f aca="false">'MEMORIAL DE CALCULO'!F285</f>
        <v>3.28125</v>
      </c>
      <c r="G174" s="27" t="n">
        <v>570.59</v>
      </c>
      <c r="H174" s="27" t="n">
        <f aca="false">G174*F174</f>
        <v>1872.2484375</v>
      </c>
      <c r="I174" s="28" t="n">
        <v>1.207</v>
      </c>
      <c r="J174" s="27" t="n">
        <f aca="false">ROUND(G174*I174,2)</f>
        <v>688.7</v>
      </c>
      <c r="K174" s="27" t="n">
        <f aca="false">J174*F174</f>
        <v>2259.796875</v>
      </c>
      <c r="L174" s="29"/>
      <c r="M174" s="29"/>
      <c r="N174" s="29"/>
      <c r="O174" s="29"/>
      <c r="P174" s="29"/>
    </row>
    <row r="175" customFormat="false" ht="21.6" hidden="false" customHeight="false" outlineLevel="0" collapsed="false">
      <c r="A175" s="23" t="s">
        <v>321</v>
      </c>
      <c r="B175" s="24" t="s">
        <v>57</v>
      </c>
      <c r="C175" s="23" t="n">
        <v>103324</v>
      </c>
      <c r="D175" s="25" t="s">
        <v>124</v>
      </c>
      <c r="E175" s="23" t="s">
        <v>19</v>
      </c>
      <c r="F175" s="26" t="n">
        <f aca="false">'MEMORIAL DE CALCULO'!F287</f>
        <v>196.37</v>
      </c>
      <c r="G175" s="27" t="n">
        <v>83.93</v>
      </c>
      <c r="H175" s="27" t="n">
        <f aca="false">G175*F175</f>
        <v>16481.3341</v>
      </c>
      <c r="I175" s="28" t="n">
        <v>1.207</v>
      </c>
      <c r="J175" s="27" t="n">
        <f aca="false">ROUND(G175*I175,2)</f>
        <v>101.3</v>
      </c>
      <c r="K175" s="27" t="n">
        <f aca="false">J175*F175</f>
        <v>19892.281</v>
      </c>
      <c r="L175" s="29"/>
      <c r="M175" s="29"/>
      <c r="N175" s="29"/>
      <c r="O175" s="29"/>
      <c r="P175" s="29"/>
    </row>
    <row r="176" customFormat="false" ht="17.5" hidden="false" customHeight="false" outlineLevel="0" collapsed="false">
      <c r="A176" s="23" t="s">
        <v>322</v>
      </c>
      <c r="B176" s="45" t="s">
        <v>21</v>
      </c>
      <c r="C176" s="54" t="s">
        <v>323</v>
      </c>
      <c r="D176" s="25" t="s">
        <v>324</v>
      </c>
      <c r="E176" s="23" t="s">
        <v>24</v>
      </c>
      <c r="F176" s="26" t="n">
        <f aca="false">'MEMORIAL DE CALCULO'!F293</f>
        <v>19.6</v>
      </c>
      <c r="G176" s="27" t="n">
        <f aca="false">43.73/1.23</f>
        <v>35.5528455284553</v>
      </c>
      <c r="H176" s="27" t="n">
        <f aca="false">G176*F176</f>
        <v>696.835772357724</v>
      </c>
      <c r="I176" s="28" t="n">
        <v>1.207</v>
      </c>
      <c r="J176" s="27" t="n">
        <f aca="false">ROUND(G176*I176,2)</f>
        <v>42.91</v>
      </c>
      <c r="K176" s="27" t="n">
        <f aca="false">J176*F176</f>
        <v>841.036</v>
      </c>
      <c r="L176" s="29"/>
      <c r="M176" s="29"/>
      <c r="N176" s="29"/>
      <c r="O176" s="29"/>
      <c r="P176" s="29"/>
    </row>
    <row r="177" customFormat="false" ht="21.6" hidden="false" customHeight="false" outlineLevel="0" collapsed="false">
      <c r="A177" s="23" t="s">
        <v>325</v>
      </c>
      <c r="B177" s="24" t="s">
        <v>57</v>
      </c>
      <c r="C177" s="23" t="n">
        <v>92451</v>
      </c>
      <c r="D177" s="25" t="s">
        <v>129</v>
      </c>
      <c r="E177" s="23" t="s">
        <v>19</v>
      </c>
      <c r="F177" s="26" t="n">
        <f aca="false">'MEMORIAL DE CALCULO'!F298</f>
        <v>28.08</v>
      </c>
      <c r="G177" s="27" t="n">
        <v>185.45</v>
      </c>
      <c r="H177" s="27" t="n">
        <f aca="false">G177*F177</f>
        <v>5207.436</v>
      </c>
      <c r="I177" s="28" t="n">
        <v>1.207</v>
      </c>
      <c r="J177" s="27" t="n">
        <f aca="false">ROUND(G177*I177,2)</f>
        <v>223.84</v>
      </c>
      <c r="K177" s="27" t="n">
        <f aca="false">J177*F177</f>
        <v>6285.4272</v>
      </c>
      <c r="L177" s="29"/>
      <c r="M177" s="29"/>
      <c r="N177" s="29"/>
      <c r="O177" s="29"/>
      <c r="P177" s="29"/>
    </row>
    <row r="178" customFormat="false" ht="17.5" hidden="false" customHeight="false" outlineLevel="0" collapsed="false">
      <c r="A178" s="23" t="s">
        <v>326</v>
      </c>
      <c r="B178" s="24" t="s">
        <v>57</v>
      </c>
      <c r="C178" s="23" t="n">
        <v>92800</v>
      </c>
      <c r="D178" s="25" t="s">
        <v>102</v>
      </c>
      <c r="E178" s="23" t="s">
        <v>103</v>
      </c>
      <c r="F178" s="26" t="n">
        <f aca="false">'MEMORIAL DE CALCULO'!F302</f>
        <v>1264.8636</v>
      </c>
      <c r="G178" s="27" t="n">
        <v>10.04</v>
      </c>
      <c r="H178" s="27" t="n">
        <f aca="false">G178*F178</f>
        <v>12699.230544</v>
      </c>
      <c r="I178" s="28" t="n">
        <v>1.207</v>
      </c>
      <c r="J178" s="27" t="n">
        <f aca="false">ROUND(G178*I178,2)</f>
        <v>12.12</v>
      </c>
      <c r="K178" s="27" t="n">
        <f aca="false">J178*F178</f>
        <v>15330.146832</v>
      </c>
      <c r="L178" s="29"/>
      <c r="M178" s="29"/>
      <c r="N178" s="29"/>
      <c r="O178" s="29"/>
      <c r="P178" s="29"/>
    </row>
    <row r="179" customFormat="false" ht="17.5" hidden="false" customHeight="false" outlineLevel="0" collapsed="false">
      <c r="A179" s="23" t="s">
        <v>327</v>
      </c>
      <c r="B179" s="24" t="s">
        <v>57</v>
      </c>
      <c r="C179" s="23" t="n">
        <v>92803</v>
      </c>
      <c r="D179" s="25" t="s">
        <v>105</v>
      </c>
      <c r="E179" s="23" t="s">
        <v>103</v>
      </c>
      <c r="F179" s="26" t="n">
        <f aca="false">'MEMORIAL DE CALCULO'!F309</f>
        <v>86.6268</v>
      </c>
      <c r="G179" s="27" t="n">
        <v>8.88</v>
      </c>
      <c r="H179" s="27" t="n">
        <f aca="false">G179*F179</f>
        <v>769.245984</v>
      </c>
      <c r="I179" s="28" t="n">
        <v>1.207</v>
      </c>
      <c r="J179" s="27" t="n">
        <f aca="false">ROUND(G179*I179,2)</f>
        <v>10.72</v>
      </c>
      <c r="K179" s="27" t="n">
        <f aca="false">J179*F179</f>
        <v>928.639296</v>
      </c>
      <c r="L179" s="29"/>
      <c r="M179" s="29"/>
      <c r="N179" s="29"/>
      <c r="O179" s="29"/>
      <c r="P179" s="2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customFormat="false" ht="17.5" hidden="false" customHeight="false" outlineLevel="0" collapsed="false">
      <c r="A180" s="23" t="s">
        <v>328</v>
      </c>
      <c r="B180" s="24" t="s">
        <v>57</v>
      </c>
      <c r="C180" s="23" t="n">
        <v>92804</v>
      </c>
      <c r="D180" s="25" t="s">
        <v>133</v>
      </c>
      <c r="E180" s="23" t="s">
        <v>103</v>
      </c>
      <c r="F180" s="26" t="n">
        <f aca="false">'MEMORIAL DE CALCULO'!F313</f>
        <v>67.6026</v>
      </c>
      <c r="G180" s="27" t="n">
        <v>7.59</v>
      </c>
      <c r="H180" s="27" t="n">
        <f aca="false">G180*F180</f>
        <v>513.103734</v>
      </c>
      <c r="I180" s="28" t="n">
        <v>1.207</v>
      </c>
      <c r="J180" s="27" t="n">
        <f aca="false">ROUND(G180*I180,2)</f>
        <v>9.16</v>
      </c>
      <c r="K180" s="27" t="n">
        <f aca="false">J180*F180</f>
        <v>619.239816</v>
      </c>
      <c r="L180" s="29"/>
      <c r="M180" s="29"/>
      <c r="N180" s="29"/>
      <c r="O180" s="29"/>
      <c r="P180" s="2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customFormat="false" ht="17.5" hidden="false" customHeight="false" outlineLevel="0" collapsed="false">
      <c r="A181" s="23" t="s">
        <v>329</v>
      </c>
      <c r="B181" s="24" t="s">
        <v>57</v>
      </c>
      <c r="C181" s="23" t="n">
        <v>103675</v>
      </c>
      <c r="D181" s="25" t="s">
        <v>135</v>
      </c>
      <c r="E181" s="23" t="s">
        <v>49</v>
      </c>
      <c r="F181" s="26" t="n">
        <f aca="false">'MEMORIAL DE CALCULO'!F317</f>
        <v>3.51</v>
      </c>
      <c r="G181" s="27" t="n">
        <v>569.93</v>
      </c>
      <c r="H181" s="27" t="n">
        <f aca="false">G181*F181</f>
        <v>2000.4543</v>
      </c>
      <c r="I181" s="28" t="n">
        <v>1.207</v>
      </c>
      <c r="J181" s="27" t="n">
        <f aca="false">ROUND(G181*I181,2)</f>
        <v>687.91</v>
      </c>
      <c r="K181" s="27" t="n">
        <f aca="false">J181*F181</f>
        <v>2414.5641</v>
      </c>
      <c r="L181" s="29"/>
      <c r="M181" s="29"/>
      <c r="N181" s="29"/>
      <c r="O181" s="29"/>
      <c r="P181" s="29"/>
    </row>
    <row r="182" customFormat="false" ht="17.5" hidden="false" customHeight="false" outlineLevel="0" collapsed="false">
      <c r="A182" s="23" t="s">
        <v>330</v>
      </c>
      <c r="B182" s="55" t="s">
        <v>26</v>
      </c>
      <c r="C182" s="48" t="s">
        <v>137</v>
      </c>
      <c r="D182" s="49" t="s">
        <v>138</v>
      </c>
      <c r="E182" s="48" t="s">
        <v>19</v>
      </c>
      <c r="F182" s="50" t="n">
        <f aca="false">'MEMORIAL DE CALCULO'!F320</f>
        <v>43.5</v>
      </c>
      <c r="G182" s="51" t="n">
        <v>200.79</v>
      </c>
      <c r="H182" s="27" t="n">
        <f aca="false">G182*F182</f>
        <v>8734.365</v>
      </c>
      <c r="I182" s="28" t="n">
        <v>1.207</v>
      </c>
      <c r="J182" s="27" t="n">
        <f aca="false">ROUND(G182*I182,2)</f>
        <v>242.35</v>
      </c>
      <c r="K182" s="51" t="n">
        <f aca="false">J182*F182</f>
        <v>10542.225</v>
      </c>
      <c r="L182" s="52"/>
      <c r="M182" s="52"/>
      <c r="N182" s="52"/>
      <c r="O182" s="52"/>
      <c r="P182" s="52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</row>
    <row r="183" customFormat="false" ht="17.5" hidden="false" customHeight="false" outlineLevel="0" collapsed="false">
      <c r="A183" s="43" t="s">
        <v>139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4" t="n">
        <f aca="false">SUM(K184:K190)</f>
        <v>32385.874</v>
      </c>
      <c r="L183" s="29"/>
      <c r="M183" s="29"/>
      <c r="N183" s="29"/>
      <c r="O183" s="29"/>
      <c r="P183" s="29"/>
      <c r="XEW183" s="14"/>
      <c r="XEX183" s="14"/>
      <c r="XEY183" s="14"/>
      <c r="XEZ183" s="14"/>
      <c r="XFA183" s="14"/>
      <c r="XFB183" s="14"/>
      <c r="XFC183" s="14"/>
      <c r="XFD183" s="14"/>
    </row>
    <row r="184" customFormat="false" ht="17.5" hidden="false" customHeight="false" outlineLevel="0" collapsed="false">
      <c r="A184" s="23" t="s">
        <v>331</v>
      </c>
      <c r="B184" s="24" t="s">
        <v>57</v>
      </c>
      <c r="C184" s="23" t="n">
        <v>92548</v>
      </c>
      <c r="D184" s="25" t="s">
        <v>332</v>
      </c>
      <c r="E184" s="23" t="s">
        <v>39</v>
      </c>
      <c r="F184" s="26" t="n">
        <v>4</v>
      </c>
      <c r="G184" s="27" t="n">
        <v>1712.27</v>
      </c>
      <c r="H184" s="27" t="n">
        <f aca="false">G184*F184</f>
        <v>6849.08</v>
      </c>
      <c r="I184" s="28" t="n">
        <v>1.207</v>
      </c>
      <c r="J184" s="27" t="n">
        <f aca="false">ROUND(G184*I184,2)</f>
        <v>2066.71</v>
      </c>
      <c r="K184" s="27" t="n">
        <f aca="false">J184*F184</f>
        <v>8266.84</v>
      </c>
      <c r="L184" s="29"/>
      <c r="M184" s="29"/>
      <c r="N184" s="29"/>
      <c r="O184" s="29"/>
      <c r="P184" s="29"/>
      <c r="XEW184" s="14"/>
      <c r="XEX184" s="14"/>
      <c r="XEY184" s="14"/>
      <c r="XEZ184" s="14"/>
      <c r="XFA184" s="14"/>
      <c r="XFB184" s="14"/>
      <c r="XFC184" s="14"/>
      <c r="XFD184" s="14"/>
    </row>
    <row r="185" customFormat="false" ht="21.6" hidden="false" customHeight="false" outlineLevel="0" collapsed="false">
      <c r="A185" s="23" t="s">
        <v>333</v>
      </c>
      <c r="B185" s="24" t="s">
        <v>57</v>
      </c>
      <c r="C185" s="23" t="n">
        <v>92540</v>
      </c>
      <c r="D185" s="25" t="s">
        <v>334</v>
      </c>
      <c r="E185" s="23" t="s">
        <v>19</v>
      </c>
      <c r="F185" s="26" t="n">
        <v>74</v>
      </c>
      <c r="G185" s="27" t="n">
        <v>101.62</v>
      </c>
      <c r="H185" s="27" t="n">
        <f aca="false">G185*F185</f>
        <v>7519.88</v>
      </c>
      <c r="I185" s="28" t="n">
        <v>1.207</v>
      </c>
      <c r="J185" s="27" t="n">
        <f aca="false">ROUND(G185*I185,2)</f>
        <v>122.66</v>
      </c>
      <c r="K185" s="27" t="n">
        <f aca="false">J185*F185</f>
        <v>9076.84</v>
      </c>
      <c r="L185" s="29"/>
      <c r="M185" s="29"/>
      <c r="N185" s="29"/>
      <c r="O185" s="29"/>
      <c r="P185" s="29"/>
    </row>
    <row r="186" customFormat="false" ht="17.5" hidden="false" customHeight="false" outlineLevel="0" collapsed="false">
      <c r="A186" s="23" t="s">
        <v>335</v>
      </c>
      <c r="B186" s="45" t="s">
        <v>21</v>
      </c>
      <c r="C186" s="23" t="s">
        <v>336</v>
      </c>
      <c r="D186" s="25" t="s">
        <v>337</v>
      </c>
      <c r="E186" s="23" t="s">
        <v>19</v>
      </c>
      <c r="F186" s="26" t="n">
        <v>74</v>
      </c>
      <c r="G186" s="27" t="n">
        <f aca="false">71.52/1.23</f>
        <v>58.1463414634146</v>
      </c>
      <c r="H186" s="27" t="n">
        <f aca="false">G186*F186</f>
        <v>4302.82926829268</v>
      </c>
      <c r="I186" s="28" t="n">
        <v>1.207</v>
      </c>
      <c r="J186" s="27" t="n">
        <f aca="false">ROUND(G186*I186,2)</f>
        <v>70.18</v>
      </c>
      <c r="K186" s="27" t="n">
        <f aca="false">J186*F186</f>
        <v>5193.32</v>
      </c>
      <c r="L186" s="56"/>
      <c r="M186" s="56"/>
      <c r="N186" s="56"/>
      <c r="O186" s="56"/>
      <c r="P186" s="56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</row>
    <row r="187" s="46" customFormat="true" ht="17.5" hidden="false" customHeight="false" outlineLevel="0" collapsed="false">
      <c r="A187" s="23" t="s">
        <v>338</v>
      </c>
      <c r="B187" s="45" t="s">
        <v>21</v>
      </c>
      <c r="C187" s="23" t="s">
        <v>339</v>
      </c>
      <c r="D187" s="25" t="s">
        <v>340</v>
      </c>
      <c r="E187" s="23" t="s">
        <v>19</v>
      </c>
      <c r="F187" s="26" t="n">
        <v>74</v>
      </c>
      <c r="G187" s="27" t="n">
        <f aca="false">22.6/1.23</f>
        <v>18.3739837398374</v>
      </c>
      <c r="H187" s="27" t="n">
        <f aca="false">G187*F187</f>
        <v>1359.67479674797</v>
      </c>
      <c r="I187" s="28" t="n">
        <v>1.207</v>
      </c>
      <c r="J187" s="27" t="n">
        <f aca="false">ROUND(G187*I187,2)</f>
        <v>22.18</v>
      </c>
      <c r="K187" s="27" t="n">
        <f aca="false">J187*F187</f>
        <v>1641.32</v>
      </c>
      <c r="L187" s="29"/>
      <c r="M187" s="29"/>
      <c r="N187" s="29"/>
      <c r="O187" s="29"/>
      <c r="P187" s="29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XEW187" s="14"/>
      <c r="XEX187" s="14"/>
      <c r="XEY187" s="14"/>
      <c r="XEZ187" s="14"/>
      <c r="XFA187" s="14"/>
      <c r="XFB187" s="14"/>
      <c r="XFC187" s="14"/>
      <c r="XFD187" s="14"/>
    </row>
    <row r="188" s="46" customFormat="true" ht="17.5" hidden="false" customHeight="false" outlineLevel="0" collapsed="false">
      <c r="A188" s="23" t="s">
        <v>341</v>
      </c>
      <c r="B188" s="45" t="s">
        <v>21</v>
      </c>
      <c r="C188" s="23" t="s">
        <v>148</v>
      </c>
      <c r="D188" s="25" t="s">
        <v>149</v>
      </c>
      <c r="E188" s="23" t="s">
        <v>24</v>
      </c>
      <c r="F188" s="26" t="n">
        <f aca="false">(13.7*2)+(5.4*2)</f>
        <v>38.2</v>
      </c>
      <c r="G188" s="27" t="n">
        <f aca="false">133.27/1.23</f>
        <v>108.349593495935</v>
      </c>
      <c r="H188" s="27" t="n">
        <f aca="false">G188*F188</f>
        <v>4138.95447154472</v>
      </c>
      <c r="I188" s="28" t="n">
        <v>1.207</v>
      </c>
      <c r="J188" s="27" t="n">
        <f aca="false">ROUND(G188*I188,2)</f>
        <v>130.78</v>
      </c>
      <c r="K188" s="27" t="n">
        <f aca="false">J188*F188</f>
        <v>4995.796</v>
      </c>
      <c r="L188" s="29"/>
      <c r="M188" s="29"/>
      <c r="N188" s="29"/>
      <c r="O188" s="29"/>
      <c r="P188" s="29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XEW188" s="14"/>
      <c r="XEX188" s="14"/>
      <c r="XEY188" s="14"/>
      <c r="XEZ188" s="14"/>
      <c r="XFA188" s="14"/>
      <c r="XFB188" s="14"/>
      <c r="XFC188" s="14"/>
      <c r="XFD188" s="14"/>
    </row>
    <row r="189" customFormat="false" ht="17.5" hidden="false" customHeight="false" outlineLevel="0" collapsed="false">
      <c r="A189" s="23" t="s">
        <v>342</v>
      </c>
      <c r="B189" s="45" t="s">
        <v>21</v>
      </c>
      <c r="C189" s="23" t="s">
        <v>151</v>
      </c>
      <c r="D189" s="25" t="s">
        <v>152</v>
      </c>
      <c r="E189" s="23" t="s">
        <v>24</v>
      </c>
      <c r="F189" s="26" t="n">
        <f aca="false">(6*3.5)</f>
        <v>21</v>
      </c>
      <c r="G189" s="27" t="n">
        <f aca="false">104.92/1.23</f>
        <v>85.3008130081301</v>
      </c>
      <c r="H189" s="27" t="n">
        <f aca="false">G189*F189</f>
        <v>1791.31707317073</v>
      </c>
      <c r="I189" s="28" t="n">
        <v>1.207</v>
      </c>
      <c r="J189" s="27" t="n">
        <f aca="false">ROUND(G189*I189,2)</f>
        <v>102.96</v>
      </c>
      <c r="K189" s="27" t="n">
        <f aca="false">J189*F189</f>
        <v>2162.16</v>
      </c>
      <c r="L189" s="29"/>
      <c r="M189" s="29"/>
      <c r="N189" s="29"/>
      <c r="O189" s="29"/>
      <c r="P189" s="29"/>
    </row>
    <row r="190" customFormat="false" ht="21.6" hidden="false" customHeight="false" outlineLevel="0" collapsed="false">
      <c r="A190" s="23" t="s">
        <v>343</v>
      </c>
      <c r="B190" s="24" t="s">
        <v>57</v>
      </c>
      <c r="C190" s="23" t="n">
        <v>94231</v>
      </c>
      <c r="D190" s="25" t="s">
        <v>154</v>
      </c>
      <c r="E190" s="23" t="s">
        <v>24</v>
      </c>
      <c r="F190" s="26" t="n">
        <f aca="false">(5.4*3)</f>
        <v>16.2</v>
      </c>
      <c r="G190" s="27" t="n">
        <v>53.68</v>
      </c>
      <c r="H190" s="27" t="n">
        <f aca="false">G190*F190</f>
        <v>869.616</v>
      </c>
      <c r="I190" s="28" t="n">
        <v>1.207</v>
      </c>
      <c r="J190" s="27" t="n">
        <f aca="false">ROUND(G190*I190,2)</f>
        <v>64.79</v>
      </c>
      <c r="K190" s="27" t="n">
        <f aca="false">J190*F190</f>
        <v>1049.598</v>
      </c>
      <c r="L190" s="29"/>
      <c r="M190" s="29"/>
      <c r="N190" s="29"/>
      <c r="O190" s="29"/>
      <c r="P190" s="29"/>
    </row>
    <row r="191" customFormat="false" ht="17.5" hidden="false" customHeight="false" outlineLevel="0" collapsed="false">
      <c r="A191" s="43" t="s">
        <v>155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4" t="n">
        <f aca="false">SUM(K192:K198)</f>
        <v>37616.8926</v>
      </c>
      <c r="L191" s="29"/>
      <c r="M191" s="29"/>
      <c r="N191" s="29"/>
      <c r="O191" s="29"/>
      <c r="P191" s="29"/>
    </row>
    <row r="192" customFormat="false" ht="17.5" hidden="false" customHeight="false" outlineLevel="0" collapsed="false">
      <c r="A192" s="23" t="s">
        <v>344</v>
      </c>
      <c r="B192" s="24" t="s">
        <v>57</v>
      </c>
      <c r="C192" s="23" t="n">
        <v>87879</v>
      </c>
      <c r="D192" s="25" t="s">
        <v>157</v>
      </c>
      <c r="E192" s="23" t="s">
        <v>19</v>
      </c>
      <c r="F192" s="26" t="n">
        <f aca="false">'MEMORIAL DE CALCULO'!F331</f>
        <v>256.26</v>
      </c>
      <c r="G192" s="27" t="n">
        <v>4.76</v>
      </c>
      <c r="H192" s="27" t="n">
        <f aca="false">G192*F192</f>
        <v>1219.7976</v>
      </c>
      <c r="I192" s="28" t="n">
        <v>1.207</v>
      </c>
      <c r="J192" s="27" t="n">
        <f aca="false">ROUND(G192*I192,2)</f>
        <v>5.75</v>
      </c>
      <c r="K192" s="27" t="n">
        <f aca="false">J192*F192</f>
        <v>1473.495</v>
      </c>
      <c r="L192" s="29"/>
      <c r="M192" s="29"/>
      <c r="N192" s="29"/>
      <c r="O192" s="29"/>
      <c r="P192" s="2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customFormat="false" ht="17.5" hidden="false" customHeight="false" outlineLevel="0" collapsed="false">
      <c r="A193" s="23" t="s">
        <v>345</v>
      </c>
      <c r="B193" s="31" t="s">
        <v>26</v>
      </c>
      <c r="C193" s="23" t="s">
        <v>159</v>
      </c>
      <c r="D193" s="25" t="s">
        <v>160</v>
      </c>
      <c r="E193" s="23" t="s">
        <v>19</v>
      </c>
      <c r="F193" s="26" t="n">
        <f aca="false">'MEMORIAL DE CALCULO'!F342</f>
        <v>256.26</v>
      </c>
      <c r="G193" s="27" t="n">
        <v>23.71</v>
      </c>
      <c r="H193" s="27" t="n">
        <f aca="false">G193*F193</f>
        <v>6075.9246</v>
      </c>
      <c r="I193" s="28" t="n">
        <v>1.207</v>
      </c>
      <c r="J193" s="27" t="n">
        <f aca="false">ROUND(G193*I193,2)</f>
        <v>28.62</v>
      </c>
      <c r="K193" s="27" t="n">
        <f aca="false">J193*F193</f>
        <v>7334.1612</v>
      </c>
      <c r="L193" s="29"/>
      <c r="M193" s="29"/>
      <c r="N193" s="29"/>
      <c r="O193" s="29"/>
      <c r="P193" s="2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customFormat="false" ht="17.5" hidden="false" customHeight="false" outlineLevel="0" collapsed="false">
      <c r="A194" s="23" t="s">
        <v>346</v>
      </c>
      <c r="B194" s="31" t="s">
        <v>26</v>
      </c>
      <c r="C194" s="23" t="s">
        <v>162</v>
      </c>
      <c r="D194" s="25" t="s">
        <v>163</v>
      </c>
      <c r="E194" s="23" t="s">
        <v>19</v>
      </c>
      <c r="F194" s="26" t="n">
        <f aca="false">'MEMORIAL DE CALCULO'!F343</f>
        <v>133.92</v>
      </c>
      <c r="G194" s="27" t="n">
        <v>13.85</v>
      </c>
      <c r="H194" s="27" t="n">
        <f aca="false">G194*F194</f>
        <v>1854.792</v>
      </c>
      <c r="I194" s="28" t="n">
        <v>1.207</v>
      </c>
      <c r="J194" s="27" t="n">
        <f aca="false">ROUND(G194*I194,2)</f>
        <v>16.72</v>
      </c>
      <c r="K194" s="27" t="n">
        <f aca="false">J194*F194</f>
        <v>2239.1424</v>
      </c>
      <c r="L194" s="29"/>
      <c r="M194" s="29"/>
      <c r="N194" s="29"/>
      <c r="O194" s="29"/>
      <c r="P194" s="2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customFormat="false" ht="21.6" hidden="false" customHeight="false" outlineLevel="0" collapsed="false">
      <c r="A195" s="23" t="s">
        <v>347</v>
      </c>
      <c r="B195" s="31" t="s">
        <v>26</v>
      </c>
      <c r="C195" s="23" t="s">
        <v>165</v>
      </c>
      <c r="D195" s="25" t="s">
        <v>166</v>
      </c>
      <c r="E195" s="23" t="s">
        <v>19</v>
      </c>
      <c r="F195" s="26" t="n">
        <f aca="false">SUM(F192-F194)</f>
        <v>122.34</v>
      </c>
      <c r="G195" s="27" t="n">
        <v>149.18</v>
      </c>
      <c r="H195" s="27" t="n">
        <f aca="false">G195*F195</f>
        <v>18250.6812</v>
      </c>
      <c r="I195" s="28" t="n">
        <v>1.207</v>
      </c>
      <c r="J195" s="27" t="n">
        <f aca="false">ROUND(G195*I195,2)</f>
        <v>180.06</v>
      </c>
      <c r="K195" s="27" t="n">
        <f aca="false">J195*F195</f>
        <v>22028.5404</v>
      </c>
      <c r="L195" s="29"/>
      <c r="M195" s="29"/>
      <c r="N195" s="29"/>
      <c r="O195" s="29"/>
      <c r="P195" s="2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customFormat="false" ht="17.5" hidden="false" customHeight="false" outlineLevel="0" collapsed="false">
      <c r="A196" s="23" t="s">
        <v>348</v>
      </c>
      <c r="B196" s="24" t="s">
        <v>57</v>
      </c>
      <c r="C196" s="23" t="n">
        <v>88411</v>
      </c>
      <c r="D196" s="25" t="s">
        <v>168</v>
      </c>
      <c r="E196" s="23" t="s">
        <v>19</v>
      </c>
      <c r="F196" s="36" t="n">
        <f aca="false">F198</f>
        <v>177.42</v>
      </c>
      <c r="G196" s="37" t="n">
        <v>5.34</v>
      </c>
      <c r="H196" s="27" t="n">
        <f aca="false">G196*F196</f>
        <v>947.4228</v>
      </c>
      <c r="I196" s="28" t="n">
        <v>1.207</v>
      </c>
      <c r="J196" s="27" t="n">
        <f aca="false">ROUND(G196*I196,2)</f>
        <v>6.45</v>
      </c>
      <c r="K196" s="27" t="n">
        <f aca="false">J196*F196</f>
        <v>1144.359</v>
      </c>
    </row>
    <row r="197" customFormat="false" ht="17.5" hidden="false" customHeight="false" outlineLevel="0" collapsed="false">
      <c r="A197" s="23" t="s">
        <v>349</v>
      </c>
      <c r="B197" s="24" t="s">
        <v>57</v>
      </c>
      <c r="C197" s="23" t="n">
        <v>88484</v>
      </c>
      <c r="D197" s="25" t="s">
        <v>170</v>
      </c>
      <c r="E197" s="23" t="s">
        <v>19</v>
      </c>
      <c r="F197" s="36" t="n">
        <f aca="false">'MEMORIAL DE CALCULO'!F346</f>
        <v>43.5</v>
      </c>
      <c r="G197" s="37" t="n">
        <v>5.97</v>
      </c>
      <c r="H197" s="27" t="n">
        <f aca="false">G197*F197</f>
        <v>259.695</v>
      </c>
      <c r="I197" s="28" t="n">
        <v>1.207</v>
      </c>
      <c r="J197" s="27" t="n">
        <f aca="false">ROUND(G197*I197,2)</f>
        <v>7.21</v>
      </c>
      <c r="K197" s="27" t="n">
        <f aca="false">J197*F197</f>
        <v>313.635</v>
      </c>
    </row>
    <row r="198" customFormat="false" ht="17.5" hidden="false" customHeight="false" outlineLevel="0" collapsed="false">
      <c r="A198" s="23" t="s">
        <v>350</v>
      </c>
      <c r="B198" s="24" t="s">
        <v>57</v>
      </c>
      <c r="C198" s="23" t="n">
        <v>88489</v>
      </c>
      <c r="D198" s="25" t="s">
        <v>172</v>
      </c>
      <c r="E198" s="23" t="s">
        <v>19</v>
      </c>
      <c r="F198" s="26" t="n">
        <f aca="false">F194+F197</f>
        <v>177.42</v>
      </c>
      <c r="G198" s="27" t="n">
        <v>14.4</v>
      </c>
      <c r="H198" s="27" t="n">
        <f aca="false">G198*F198</f>
        <v>2554.848</v>
      </c>
      <c r="I198" s="28" t="n">
        <v>1.207</v>
      </c>
      <c r="J198" s="27" t="n">
        <f aca="false">ROUND(G198*I198,2)</f>
        <v>17.38</v>
      </c>
      <c r="K198" s="27" t="n">
        <f aca="false">J198*F198</f>
        <v>3083.5596</v>
      </c>
      <c r="L198" s="29"/>
      <c r="M198" s="29"/>
      <c r="N198" s="29"/>
      <c r="O198" s="29"/>
      <c r="P198" s="2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customFormat="false" ht="17.5" hidden="false" customHeight="false" outlineLevel="0" collapsed="false">
      <c r="A199" s="43" t="s">
        <v>173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4" t="n">
        <f aca="false">SUM(K200:K207)</f>
        <v>10740.1195</v>
      </c>
      <c r="L199" s="29"/>
      <c r="M199" s="29"/>
      <c r="N199" s="29"/>
      <c r="O199" s="29"/>
      <c r="P199" s="29"/>
    </row>
    <row r="200" customFormat="false" ht="17.5" hidden="false" customHeight="false" outlineLevel="0" collapsed="false">
      <c r="A200" s="23" t="s">
        <v>351</v>
      </c>
      <c r="B200" s="24" t="s">
        <v>64</v>
      </c>
      <c r="C200" s="23" t="n">
        <v>96624</v>
      </c>
      <c r="D200" s="25" t="s">
        <v>175</v>
      </c>
      <c r="E200" s="23" t="s">
        <v>49</v>
      </c>
      <c r="F200" s="26" t="n">
        <f aca="false">'MEMORIAL DE CALCULO'!F350</f>
        <v>4.35</v>
      </c>
      <c r="G200" s="27" t="n">
        <v>165.13</v>
      </c>
      <c r="H200" s="27" t="n">
        <f aca="false">G200*F200</f>
        <v>718.3155</v>
      </c>
      <c r="I200" s="28" t="n">
        <v>1.207</v>
      </c>
      <c r="J200" s="27" t="n">
        <f aca="false">ROUND(G200*I200,2)</f>
        <v>199.31</v>
      </c>
      <c r="K200" s="27" t="n">
        <f aca="false">J200*F200</f>
        <v>866.9985</v>
      </c>
      <c r="L200" s="29"/>
      <c r="M200" s="42"/>
      <c r="N200" s="29"/>
      <c r="O200" s="29"/>
      <c r="P200" s="29"/>
    </row>
    <row r="201" customFormat="false" ht="17.5" hidden="false" customHeight="false" outlineLevel="0" collapsed="false">
      <c r="A201" s="23" t="s">
        <v>352</v>
      </c>
      <c r="B201" s="24" t="s">
        <v>64</v>
      </c>
      <c r="C201" s="23" t="n">
        <v>97113</v>
      </c>
      <c r="D201" s="25" t="s">
        <v>65</v>
      </c>
      <c r="E201" s="23" t="s">
        <v>19</v>
      </c>
      <c r="F201" s="26" t="n">
        <f aca="false">'MEMORIAL DE CALCULO'!F351</f>
        <v>43.5</v>
      </c>
      <c r="G201" s="27" t="n">
        <v>1.62</v>
      </c>
      <c r="H201" s="27" t="n">
        <f aca="false">G201*F201</f>
        <v>70.47</v>
      </c>
      <c r="I201" s="28" t="n">
        <v>1.207</v>
      </c>
      <c r="J201" s="27" t="n">
        <f aca="false">ROUND(G201*I201,2)</f>
        <v>1.96</v>
      </c>
      <c r="K201" s="27" t="n">
        <f aca="false">J201*F201</f>
        <v>85.26</v>
      </c>
      <c r="L201" s="29"/>
      <c r="M201" s="42"/>
      <c r="N201" s="29"/>
      <c r="O201" s="29"/>
      <c r="P201" s="29"/>
    </row>
    <row r="202" customFormat="false" ht="17.5" hidden="false" customHeight="false" outlineLevel="0" collapsed="false">
      <c r="A202" s="23" t="s">
        <v>353</v>
      </c>
      <c r="B202" s="30" t="s">
        <v>21</v>
      </c>
      <c r="C202" s="23" t="s">
        <v>178</v>
      </c>
      <c r="D202" s="25" t="s">
        <v>179</v>
      </c>
      <c r="E202" s="23" t="s">
        <v>19</v>
      </c>
      <c r="F202" s="26" t="n">
        <f aca="false">'MEMORIAL DE CALCULO'!F352</f>
        <v>43.5</v>
      </c>
      <c r="G202" s="27" t="n">
        <f aca="false">38.2/1.23</f>
        <v>31.0569105691057</v>
      </c>
      <c r="H202" s="27" t="n">
        <f aca="false">G202*F202</f>
        <v>1350.9756097561</v>
      </c>
      <c r="I202" s="28" t="n">
        <v>1.207</v>
      </c>
      <c r="J202" s="27" t="n">
        <f aca="false">ROUND(G202*I202,2)</f>
        <v>37.49</v>
      </c>
      <c r="K202" s="27" t="n">
        <f aca="false">J202*F202</f>
        <v>1630.815</v>
      </c>
      <c r="L202" s="29"/>
      <c r="M202" s="42"/>
      <c r="N202" s="29"/>
      <c r="O202" s="29"/>
      <c r="P202" s="29"/>
    </row>
    <row r="203" customFormat="false" ht="17.5" hidden="false" customHeight="false" outlineLevel="0" collapsed="false">
      <c r="A203" s="23" t="s">
        <v>354</v>
      </c>
      <c r="B203" s="24" t="s">
        <v>64</v>
      </c>
      <c r="C203" s="23" t="n">
        <v>88472</v>
      </c>
      <c r="D203" s="25" t="s">
        <v>181</v>
      </c>
      <c r="E203" s="23" t="s">
        <v>19</v>
      </c>
      <c r="F203" s="26" t="n">
        <f aca="false">'MEMORIAL DE CALCULO'!F353</f>
        <v>43.5</v>
      </c>
      <c r="G203" s="27" t="n">
        <v>34.71</v>
      </c>
      <c r="H203" s="27" t="n">
        <f aca="false">G203*F203</f>
        <v>1509.885</v>
      </c>
      <c r="I203" s="28" t="n">
        <v>1.207</v>
      </c>
      <c r="J203" s="27" t="n">
        <f aca="false">ROUND(G203*I203,2)</f>
        <v>41.89</v>
      </c>
      <c r="K203" s="27" t="n">
        <f aca="false">J203*F203</f>
        <v>1822.215</v>
      </c>
      <c r="L203" s="29"/>
      <c r="M203" s="42"/>
      <c r="N203" s="29"/>
      <c r="O203" s="29"/>
      <c r="P203" s="29"/>
    </row>
    <row r="204" customFormat="false" ht="17.5" hidden="false" customHeight="false" outlineLevel="0" collapsed="false">
      <c r="A204" s="23" t="s">
        <v>355</v>
      </c>
      <c r="B204" s="24" t="s">
        <v>64</v>
      </c>
      <c r="C204" s="23" t="n">
        <v>39507</v>
      </c>
      <c r="D204" s="25" t="s">
        <v>183</v>
      </c>
      <c r="E204" s="23" t="s">
        <v>19</v>
      </c>
      <c r="F204" s="26" t="n">
        <f aca="false">F203</f>
        <v>43.5</v>
      </c>
      <c r="G204" s="27" t="n">
        <v>12.48</v>
      </c>
      <c r="H204" s="27" t="n">
        <f aca="false">G204*F204</f>
        <v>542.88</v>
      </c>
      <c r="I204" s="28" t="n">
        <v>1.207</v>
      </c>
      <c r="J204" s="27" t="n">
        <f aca="false">ROUND(G204*I204,2)</f>
        <v>15.06</v>
      </c>
      <c r="K204" s="27" t="n">
        <f aca="false">J204*F204</f>
        <v>655.11</v>
      </c>
      <c r="L204" s="29"/>
      <c r="M204" s="42"/>
      <c r="N204" s="29"/>
      <c r="O204" s="29"/>
      <c r="P204" s="29"/>
    </row>
    <row r="205" customFormat="false" ht="17.5" hidden="false" customHeight="false" outlineLevel="0" collapsed="false">
      <c r="A205" s="23" t="s">
        <v>356</v>
      </c>
      <c r="B205" s="24" t="s">
        <v>64</v>
      </c>
      <c r="C205" s="23" t="n">
        <v>87257</v>
      </c>
      <c r="D205" s="25" t="s">
        <v>185</v>
      </c>
      <c r="E205" s="23" t="s">
        <v>19</v>
      </c>
      <c r="F205" s="26" t="n">
        <f aca="false">F204</f>
        <v>43.5</v>
      </c>
      <c r="G205" s="27" t="n">
        <v>60.39</v>
      </c>
      <c r="H205" s="27" t="n">
        <f aca="false">G205*F205</f>
        <v>2626.965</v>
      </c>
      <c r="I205" s="28" t="n">
        <v>1.207</v>
      </c>
      <c r="J205" s="27" t="n">
        <f aca="false">ROUND(G205*I205,2)</f>
        <v>72.89</v>
      </c>
      <c r="K205" s="27" t="n">
        <f aca="false">J205*F205</f>
        <v>3170.715</v>
      </c>
      <c r="L205" s="29"/>
      <c r="M205" s="29"/>
      <c r="N205" s="29"/>
      <c r="O205" s="29"/>
      <c r="P205" s="29"/>
    </row>
    <row r="206" customFormat="false" ht="17.5" hidden="false" customHeight="false" outlineLevel="0" collapsed="false">
      <c r="A206" s="23" t="s">
        <v>357</v>
      </c>
      <c r="B206" s="24" t="s">
        <v>64</v>
      </c>
      <c r="C206" s="23" t="n">
        <v>88650</v>
      </c>
      <c r="D206" s="25" t="s">
        <v>187</v>
      </c>
      <c r="E206" s="23" t="s">
        <v>24</v>
      </c>
      <c r="F206" s="26" t="n">
        <f aca="false">'MEMORIAL DE CALCULO'!F356</f>
        <v>36.6</v>
      </c>
      <c r="G206" s="27" t="n">
        <v>11.58</v>
      </c>
      <c r="H206" s="27" t="n">
        <f aca="false">G206*F206</f>
        <v>423.828</v>
      </c>
      <c r="I206" s="28" t="n">
        <v>1.207</v>
      </c>
      <c r="J206" s="27" t="n">
        <f aca="false">ROUND(G206*I206,2)</f>
        <v>13.98</v>
      </c>
      <c r="K206" s="27" t="n">
        <f aca="false">J206*F206</f>
        <v>511.668</v>
      </c>
      <c r="L206" s="29"/>
      <c r="M206" s="29"/>
      <c r="N206" s="29"/>
      <c r="O206" s="29"/>
      <c r="P206" s="29"/>
    </row>
    <row r="207" customFormat="false" ht="17.5" hidden="false" customHeight="false" outlineLevel="0" collapsed="false">
      <c r="A207" s="23" t="s">
        <v>358</v>
      </c>
      <c r="B207" s="31" t="s">
        <v>26</v>
      </c>
      <c r="C207" s="23" t="s">
        <v>189</v>
      </c>
      <c r="D207" s="25" t="s">
        <v>190</v>
      </c>
      <c r="E207" s="23" t="s">
        <v>24</v>
      </c>
      <c r="F207" s="26" t="n">
        <f aca="false">'MEMORIAL DE CALCULO'!F357</f>
        <v>9.8</v>
      </c>
      <c r="G207" s="27" t="n">
        <v>168.86</v>
      </c>
      <c r="H207" s="27" t="n">
        <f aca="false">G207*F207</f>
        <v>1654.828</v>
      </c>
      <c r="I207" s="28" t="n">
        <v>1.207</v>
      </c>
      <c r="J207" s="27" t="n">
        <f aca="false">ROUND(G207*I207,2)</f>
        <v>203.81</v>
      </c>
      <c r="K207" s="27" t="n">
        <f aca="false">J207*F207</f>
        <v>1997.338</v>
      </c>
      <c r="L207" s="29"/>
      <c r="M207" s="29"/>
      <c r="N207" s="29"/>
      <c r="O207" s="29"/>
      <c r="P207" s="29"/>
    </row>
    <row r="208" customFormat="false" ht="17.5" hidden="false" customHeight="false" outlineLevel="0" collapsed="false">
      <c r="A208" s="43" t="s">
        <v>191</v>
      </c>
      <c r="B208" s="43"/>
      <c r="C208" s="43"/>
      <c r="D208" s="43"/>
      <c r="E208" s="43"/>
      <c r="F208" s="43"/>
      <c r="G208" s="43"/>
      <c r="H208" s="43"/>
      <c r="I208" s="43"/>
      <c r="J208" s="43"/>
      <c r="K208" s="44" t="n">
        <f aca="false">SUM(K209:K210)</f>
        <v>11246.9312</v>
      </c>
      <c r="L208" s="29"/>
      <c r="M208" s="29"/>
      <c r="N208" s="29"/>
      <c r="O208" s="29"/>
      <c r="P208" s="29"/>
    </row>
    <row r="209" customFormat="false" ht="17.5" hidden="false" customHeight="false" outlineLevel="0" collapsed="false">
      <c r="A209" s="23" t="s">
        <v>359</v>
      </c>
      <c r="B209" s="31" t="s">
        <v>26</v>
      </c>
      <c r="C209" s="23" t="s">
        <v>193</v>
      </c>
      <c r="D209" s="25" t="s">
        <v>194</v>
      </c>
      <c r="E209" s="54" t="s">
        <v>19</v>
      </c>
      <c r="F209" s="59" t="n">
        <f aca="false">'MEMORIAL DE CALCULO'!F360</f>
        <v>8</v>
      </c>
      <c r="G209" s="27" t="n">
        <v>920.86</v>
      </c>
      <c r="H209" s="27" t="n">
        <f aca="false">G209*F209</f>
        <v>7366.88</v>
      </c>
      <c r="I209" s="28" t="n">
        <v>1.207</v>
      </c>
      <c r="J209" s="27" t="n">
        <f aca="false">ROUND(G209*I209,2)</f>
        <v>1111.48</v>
      </c>
      <c r="K209" s="27" t="n">
        <f aca="false">J209*F209</f>
        <v>8891.84</v>
      </c>
      <c r="L209" s="29"/>
      <c r="M209" s="29"/>
      <c r="N209" s="29"/>
      <c r="O209" s="29"/>
      <c r="P209" s="29"/>
    </row>
    <row r="210" customFormat="false" ht="17.5" hidden="false" customHeight="false" outlineLevel="0" collapsed="false">
      <c r="A210" s="23" t="s">
        <v>360</v>
      </c>
      <c r="B210" s="31" t="s">
        <v>26</v>
      </c>
      <c r="C210" s="23" t="s">
        <v>361</v>
      </c>
      <c r="D210" s="25" t="s">
        <v>362</v>
      </c>
      <c r="E210" s="23" t="s">
        <v>19</v>
      </c>
      <c r="F210" s="26" t="n">
        <f aca="false">'MEMORIAL DE CALCULO'!F361</f>
        <v>3.78</v>
      </c>
      <c r="G210" s="27" t="n">
        <v>516.19</v>
      </c>
      <c r="H210" s="27" t="n">
        <f aca="false">G210*F210</f>
        <v>1951.1982</v>
      </c>
      <c r="I210" s="28" t="n">
        <v>1.207</v>
      </c>
      <c r="J210" s="27" t="n">
        <f aca="false">ROUND(G210*I210,2)</f>
        <v>623.04</v>
      </c>
      <c r="K210" s="27" t="n">
        <f aca="false">J210*F210</f>
        <v>2355.0912</v>
      </c>
      <c r="L210" s="29"/>
      <c r="M210" s="29"/>
      <c r="N210" s="29"/>
      <c r="O210" s="29"/>
      <c r="P210" s="29"/>
    </row>
    <row r="211" customFormat="false" ht="17.5" hidden="false" customHeight="false" outlineLevel="0" collapsed="false">
      <c r="A211" s="43" t="s">
        <v>363</v>
      </c>
      <c r="B211" s="43"/>
      <c r="C211" s="43"/>
      <c r="D211" s="43"/>
      <c r="E211" s="43"/>
      <c r="F211" s="43"/>
      <c r="G211" s="43"/>
      <c r="H211" s="43"/>
      <c r="I211" s="43"/>
      <c r="J211" s="43"/>
      <c r="K211" s="44" t="n">
        <f aca="false">SUM(K212:K214)</f>
        <v>9196.38</v>
      </c>
      <c r="L211" s="29"/>
      <c r="M211" s="29"/>
      <c r="N211" s="29"/>
      <c r="O211" s="29"/>
      <c r="P211" s="29"/>
    </row>
    <row r="212" customFormat="false" ht="21.6" hidden="false" customHeight="false" outlineLevel="0" collapsed="false">
      <c r="A212" s="23" t="s">
        <v>364</v>
      </c>
      <c r="B212" s="31" t="s">
        <v>26</v>
      </c>
      <c r="C212" s="23" t="s">
        <v>206</v>
      </c>
      <c r="D212" s="25" t="s">
        <v>207</v>
      </c>
      <c r="E212" s="23" t="s">
        <v>39</v>
      </c>
      <c r="F212" s="26" t="n">
        <v>4</v>
      </c>
      <c r="G212" s="27" t="n">
        <v>172.34</v>
      </c>
      <c r="H212" s="27" t="n">
        <f aca="false">G212*F212</f>
        <v>689.36</v>
      </c>
      <c r="I212" s="28" t="n">
        <v>1.207</v>
      </c>
      <c r="J212" s="27" t="n">
        <f aca="false">ROUND(G212*I212,2)</f>
        <v>208.01</v>
      </c>
      <c r="K212" s="27" t="n">
        <f aca="false">J212*F212</f>
        <v>832.04</v>
      </c>
      <c r="L212" s="29"/>
      <c r="M212" s="29"/>
      <c r="N212" s="29"/>
      <c r="O212" s="29"/>
      <c r="P212" s="29"/>
    </row>
    <row r="213" customFormat="false" ht="17.5" hidden="false" customHeight="false" outlineLevel="0" collapsed="false">
      <c r="A213" s="23" t="s">
        <v>365</v>
      </c>
      <c r="B213" s="31" t="s">
        <v>26</v>
      </c>
      <c r="C213" s="23" t="s">
        <v>209</v>
      </c>
      <c r="D213" s="25" t="s">
        <v>210</v>
      </c>
      <c r="E213" s="23" t="s">
        <v>24</v>
      </c>
      <c r="F213" s="26" t="n">
        <v>4</v>
      </c>
      <c r="G213" s="27" t="n">
        <v>194.27</v>
      </c>
      <c r="H213" s="27" t="n">
        <f aca="false">G213*F213</f>
        <v>777.08</v>
      </c>
      <c r="I213" s="28" t="n">
        <v>1.207</v>
      </c>
      <c r="J213" s="27" t="n">
        <f aca="false">ROUND(G213*I213,2)</f>
        <v>234.48</v>
      </c>
      <c r="K213" s="27" t="n">
        <f aca="false">J213*F213</f>
        <v>937.92</v>
      </c>
      <c r="L213" s="29"/>
      <c r="M213" s="29"/>
      <c r="N213" s="29"/>
      <c r="O213" s="29"/>
      <c r="P213" s="29"/>
    </row>
    <row r="214" customFormat="false" ht="17.5" hidden="false" customHeight="false" outlineLevel="0" collapsed="false">
      <c r="A214" s="23" t="s">
        <v>366</v>
      </c>
      <c r="B214" s="30" t="s">
        <v>21</v>
      </c>
      <c r="C214" s="23" t="s">
        <v>212</v>
      </c>
      <c r="D214" s="25" t="s">
        <v>213</v>
      </c>
      <c r="E214" s="23" t="s">
        <v>204</v>
      </c>
      <c r="F214" s="26" t="n">
        <v>2</v>
      </c>
      <c r="G214" s="27" t="n">
        <f aca="false">3783.97/1.23</f>
        <v>3076.39837398374</v>
      </c>
      <c r="H214" s="27" t="n">
        <f aca="false">G214*F214</f>
        <v>6152.79674796748</v>
      </c>
      <c r="I214" s="28" t="n">
        <v>1.207</v>
      </c>
      <c r="J214" s="27" t="n">
        <f aca="false">ROUND(G214*I214,2)</f>
        <v>3713.21</v>
      </c>
      <c r="K214" s="27" t="n">
        <f aca="false">J214*F214</f>
        <v>7426.42</v>
      </c>
      <c r="L214" s="29"/>
      <c r="M214" s="29"/>
      <c r="N214" s="29"/>
      <c r="O214" s="29"/>
      <c r="P214" s="29"/>
    </row>
    <row r="215" customFormat="false" ht="17.5" hidden="false" customHeight="false" outlineLevel="0" collapsed="false">
      <c r="A215" s="43" t="s">
        <v>367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4" t="n">
        <f aca="false">SUM(K216:K219)</f>
        <v>25661.804</v>
      </c>
      <c r="L215" s="29"/>
      <c r="M215" s="29"/>
      <c r="N215" s="29"/>
      <c r="O215" s="29"/>
      <c r="P215" s="29"/>
    </row>
    <row r="216" customFormat="false" ht="17.5" hidden="false" customHeight="false" outlineLevel="0" collapsed="false">
      <c r="A216" s="23" t="s">
        <v>368</v>
      </c>
      <c r="B216" s="30" t="s">
        <v>21</v>
      </c>
      <c r="C216" s="23" t="s">
        <v>369</v>
      </c>
      <c r="D216" s="25" t="s">
        <v>370</v>
      </c>
      <c r="E216" s="23" t="s">
        <v>39</v>
      </c>
      <c r="F216" s="26" t="n">
        <v>8</v>
      </c>
      <c r="G216" s="27" t="n">
        <f aca="false">400.78/1.23</f>
        <v>325.837398373984</v>
      </c>
      <c r="H216" s="27" t="n">
        <f aca="false">G216*F216</f>
        <v>2606.69918699187</v>
      </c>
      <c r="I216" s="28" t="n">
        <v>1.207</v>
      </c>
      <c r="J216" s="27" t="n">
        <f aca="false">ROUND(G216*I216,2)</f>
        <v>393.29</v>
      </c>
      <c r="K216" s="27" t="n">
        <f aca="false">J216*F216</f>
        <v>3146.32</v>
      </c>
      <c r="L216" s="29"/>
      <c r="M216" s="29"/>
      <c r="N216" s="29"/>
      <c r="O216" s="29"/>
      <c r="P216" s="29"/>
    </row>
    <row r="217" customFormat="false" ht="17.5" hidden="false" customHeight="false" outlineLevel="0" collapsed="false">
      <c r="A217" s="23" t="s">
        <v>371</v>
      </c>
      <c r="B217" s="31" t="s">
        <v>26</v>
      </c>
      <c r="C217" s="23" t="s">
        <v>372</v>
      </c>
      <c r="D217" s="25" t="s">
        <v>373</v>
      </c>
      <c r="E217" s="23" t="s">
        <v>19</v>
      </c>
      <c r="F217" s="26" t="n">
        <f aca="false">(4.9*0.6)*2</f>
        <v>5.88</v>
      </c>
      <c r="G217" s="27" t="n">
        <v>1689.56</v>
      </c>
      <c r="H217" s="27" t="n">
        <f aca="false">G217*F217</f>
        <v>9934.6128</v>
      </c>
      <c r="I217" s="28" t="n">
        <v>1.207</v>
      </c>
      <c r="J217" s="27" t="n">
        <f aca="false">ROUND(G217*I217,2)</f>
        <v>2039.3</v>
      </c>
      <c r="K217" s="27" t="n">
        <f aca="false">J217*F217</f>
        <v>11991.084</v>
      </c>
      <c r="L217" s="29"/>
      <c r="M217" s="29"/>
      <c r="N217" s="29"/>
      <c r="O217" s="29"/>
      <c r="P217" s="29"/>
    </row>
    <row r="218" customFormat="false" ht="21.6" hidden="false" customHeight="false" outlineLevel="0" collapsed="false">
      <c r="A218" s="23" t="s">
        <v>374</v>
      </c>
      <c r="B218" s="31" t="s">
        <v>26</v>
      </c>
      <c r="C218" s="23" t="s">
        <v>375</v>
      </c>
      <c r="D218" s="25" t="s">
        <v>376</v>
      </c>
      <c r="E218" s="23" t="s">
        <v>377</v>
      </c>
      <c r="F218" s="26" t="n">
        <v>10</v>
      </c>
      <c r="G218" s="27" t="n">
        <v>704.39</v>
      </c>
      <c r="H218" s="27" t="n">
        <f aca="false">G218*F218</f>
        <v>7043.9</v>
      </c>
      <c r="I218" s="28" t="n">
        <v>1.207</v>
      </c>
      <c r="J218" s="27" t="n">
        <f aca="false">ROUND(G218*I218,2)</f>
        <v>850.2</v>
      </c>
      <c r="K218" s="27" t="n">
        <f aca="false">J218*F218</f>
        <v>8502</v>
      </c>
      <c r="L218" s="29"/>
      <c r="M218" s="29"/>
      <c r="N218" s="29"/>
      <c r="O218" s="29"/>
      <c r="P218" s="29"/>
    </row>
    <row r="219" customFormat="false" ht="17.5" hidden="false" customHeight="false" outlineLevel="0" collapsed="false">
      <c r="A219" s="23" t="s">
        <v>378</v>
      </c>
      <c r="B219" s="31" t="s">
        <v>26</v>
      </c>
      <c r="C219" s="23" t="s">
        <v>379</v>
      </c>
      <c r="D219" s="25" t="s">
        <v>380</v>
      </c>
      <c r="E219" s="23" t="s">
        <v>377</v>
      </c>
      <c r="F219" s="26" t="n">
        <v>10</v>
      </c>
      <c r="G219" s="27" t="n">
        <v>167.56</v>
      </c>
      <c r="H219" s="27" t="n">
        <f aca="false">G219*F219</f>
        <v>1675.6</v>
      </c>
      <c r="I219" s="28" t="n">
        <v>1.207</v>
      </c>
      <c r="J219" s="27" t="n">
        <f aca="false">ROUND(G219*I219,2)</f>
        <v>202.24</v>
      </c>
      <c r="K219" s="27" t="n">
        <f aca="false">J219*F219</f>
        <v>2022.4</v>
      </c>
      <c r="L219" s="29"/>
      <c r="M219" s="29"/>
      <c r="N219" s="29"/>
      <c r="O219" s="29"/>
      <c r="P219" s="29"/>
    </row>
    <row r="220" customFormat="false" ht="17.5" hidden="false" customHeight="false" outlineLevel="0" collapsed="false">
      <c r="A220" s="43" t="s">
        <v>381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4" t="n">
        <f aca="false">SUM(K221:K222)</f>
        <v>24272.5056</v>
      </c>
      <c r="L220" s="29"/>
      <c r="M220" s="29"/>
      <c r="N220" s="29"/>
      <c r="O220" s="29"/>
      <c r="P220" s="29"/>
    </row>
    <row r="221" customFormat="false" ht="17.5" hidden="false" customHeight="false" outlineLevel="0" collapsed="false">
      <c r="A221" s="23" t="s">
        <v>382</v>
      </c>
      <c r="B221" s="30" t="s">
        <v>21</v>
      </c>
      <c r="C221" s="23" t="s">
        <v>383</v>
      </c>
      <c r="D221" s="25" t="s">
        <v>384</v>
      </c>
      <c r="E221" s="23" t="s">
        <v>19</v>
      </c>
      <c r="F221" s="26" t="n">
        <f aca="false">'MEMORIAL DE CALCULO'!F375</f>
        <v>49.56</v>
      </c>
      <c r="G221" s="27" t="n">
        <f aca="false">300.01/1.23</f>
        <v>243.910569105691</v>
      </c>
      <c r="H221" s="27" t="n">
        <f aca="false">G221*F221</f>
        <v>12088.207804878</v>
      </c>
      <c r="I221" s="28" t="n">
        <v>1.207</v>
      </c>
      <c r="J221" s="27" t="n">
        <f aca="false">ROUND(G221*I221,2)</f>
        <v>294.4</v>
      </c>
      <c r="K221" s="27" t="n">
        <f aca="false">J221*F221</f>
        <v>14590.464</v>
      </c>
      <c r="L221" s="29"/>
      <c r="M221" s="29"/>
      <c r="N221" s="29"/>
      <c r="O221" s="29"/>
      <c r="P221" s="29"/>
    </row>
    <row r="222" customFormat="false" ht="17.5" hidden="false" customHeight="false" outlineLevel="0" collapsed="false">
      <c r="A222" s="23" t="s">
        <v>385</v>
      </c>
      <c r="B222" s="31" t="s">
        <v>26</v>
      </c>
      <c r="C222" s="23" t="s">
        <v>361</v>
      </c>
      <c r="D222" s="25" t="s">
        <v>362</v>
      </c>
      <c r="E222" s="23" t="s">
        <v>19</v>
      </c>
      <c r="F222" s="26" t="n">
        <f aca="false">'MEMORIAL DE CALCULO'!F378</f>
        <v>15.54</v>
      </c>
      <c r="G222" s="27" t="n">
        <v>516.19</v>
      </c>
      <c r="H222" s="27" t="n">
        <f aca="false">G222*F222</f>
        <v>8021.5926</v>
      </c>
      <c r="I222" s="28" t="n">
        <v>1.207</v>
      </c>
      <c r="J222" s="27" t="n">
        <f aca="false">ROUND(G222*I222,2)</f>
        <v>623.04</v>
      </c>
      <c r="K222" s="27" t="n">
        <f aca="false">J222*F222</f>
        <v>9682.0416</v>
      </c>
      <c r="L222" s="29"/>
      <c r="M222" s="29"/>
      <c r="N222" s="29"/>
      <c r="O222" s="29"/>
      <c r="P222" s="29"/>
    </row>
    <row r="223" customFormat="false" ht="17.5" hidden="false" customHeight="false" outlineLevel="0" collapsed="false">
      <c r="A223" s="64" t="s">
        <v>214</v>
      </c>
      <c r="B223" s="64"/>
      <c r="C223" s="64"/>
      <c r="D223" s="64"/>
      <c r="E223" s="64"/>
      <c r="F223" s="64"/>
      <c r="G223" s="64"/>
      <c r="H223" s="64"/>
      <c r="I223" s="64"/>
      <c r="J223" s="64"/>
      <c r="K223" s="65" t="n">
        <f aca="false">SUM(K224:K227)</f>
        <v>11004.72</v>
      </c>
      <c r="L223" s="29"/>
      <c r="M223" s="29"/>
      <c r="N223" s="29"/>
      <c r="O223" s="29"/>
      <c r="P223" s="29"/>
    </row>
    <row r="224" customFormat="false" ht="17.5" hidden="false" customHeight="false" outlineLevel="0" collapsed="false">
      <c r="A224" s="23" t="s">
        <v>386</v>
      </c>
      <c r="B224" s="30" t="s">
        <v>21</v>
      </c>
      <c r="C224" s="54" t="s">
        <v>216</v>
      </c>
      <c r="D224" s="25" t="s">
        <v>217</v>
      </c>
      <c r="E224" s="54" t="s">
        <v>39</v>
      </c>
      <c r="F224" s="26" t="n">
        <v>2</v>
      </c>
      <c r="G224" s="27" t="n">
        <f aca="false">829.45/1.23</f>
        <v>674.349593495935</v>
      </c>
      <c r="H224" s="27" t="n">
        <f aca="false">G224*F224</f>
        <v>1348.69918699187</v>
      </c>
      <c r="I224" s="28" t="n">
        <v>1.207</v>
      </c>
      <c r="J224" s="27" t="n">
        <f aca="false">ROUND(G224*I224,2)</f>
        <v>813.94</v>
      </c>
      <c r="K224" s="27" t="n">
        <f aca="false">J224*F224</f>
        <v>1627.88</v>
      </c>
      <c r="L224" s="60"/>
      <c r="M224" s="60"/>
      <c r="N224" s="60"/>
      <c r="O224" s="60"/>
      <c r="P224" s="60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</row>
    <row r="225" customFormat="false" ht="17.5" hidden="false" customHeight="false" outlineLevel="0" collapsed="false">
      <c r="A225" s="23" t="s">
        <v>387</v>
      </c>
      <c r="B225" s="30" t="s">
        <v>21</v>
      </c>
      <c r="C225" s="54" t="s">
        <v>219</v>
      </c>
      <c r="D225" s="25" t="s">
        <v>220</v>
      </c>
      <c r="E225" s="54" t="s">
        <v>24</v>
      </c>
      <c r="F225" s="26" t="n">
        <f aca="false">'MEMORIAL DE CALCULO'!F384</f>
        <v>36.4</v>
      </c>
      <c r="G225" s="27" t="n">
        <f aca="false">83.16/1.23</f>
        <v>67.609756097561</v>
      </c>
      <c r="H225" s="27" t="n">
        <f aca="false">G225*F225</f>
        <v>2460.99512195122</v>
      </c>
      <c r="I225" s="28" t="n">
        <v>1.207</v>
      </c>
      <c r="J225" s="27" t="n">
        <f aca="false">ROUND(G225*I225,2)</f>
        <v>81.6</v>
      </c>
      <c r="K225" s="27" t="n">
        <f aca="false">J225*F225</f>
        <v>2970.24</v>
      </c>
      <c r="L225" s="60"/>
      <c r="M225" s="60"/>
      <c r="N225" s="60"/>
      <c r="O225" s="60"/>
      <c r="P225" s="60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</row>
    <row r="226" customFormat="false" ht="17.5" hidden="false" customHeight="false" outlineLevel="0" collapsed="false">
      <c r="A226" s="23" t="s">
        <v>388</v>
      </c>
      <c r="B226" s="30" t="s">
        <v>21</v>
      </c>
      <c r="C226" s="54" t="s">
        <v>222</v>
      </c>
      <c r="D226" s="25" t="s">
        <v>223</v>
      </c>
      <c r="E226" s="54" t="s">
        <v>24</v>
      </c>
      <c r="F226" s="26" t="n">
        <f aca="false">'MEMORIAL DE CALCULO'!F385</f>
        <v>13</v>
      </c>
      <c r="G226" s="27" t="n">
        <f aca="false">108.17/1.23</f>
        <v>87.9430894308943</v>
      </c>
      <c r="H226" s="27" t="n">
        <f aca="false">G226*F226</f>
        <v>1143.26016260163</v>
      </c>
      <c r="I226" s="28" t="n">
        <v>1.207</v>
      </c>
      <c r="J226" s="27" t="n">
        <f aca="false">ROUND(G226*I226,2)</f>
        <v>106.15</v>
      </c>
      <c r="K226" s="27" t="n">
        <f aca="false">J226*F226</f>
        <v>1379.95</v>
      </c>
      <c r="L226" s="60"/>
      <c r="M226" s="60"/>
      <c r="N226" s="60"/>
      <c r="O226" s="60"/>
      <c r="P226" s="60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</row>
    <row r="227" customFormat="false" ht="17.5" hidden="false" customHeight="false" outlineLevel="0" collapsed="false">
      <c r="A227" s="23" t="s">
        <v>389</v>
      </c>
      <c r="B227" s="30" t="s">
        <v>21</v>
      </c>
      <c r="C227" s="54" t="s">
        <v>225</v>
      </c>
      <c r="D227" s="25" t="s">
        <v>226</v>
      </c>
      <c r="E227" s="54" t="s">
        <v>24</v>
      </c>
      <c r="F227" s="26" t="n">
        <f aca="false">'MEMORIAL DE CALCULO'!F386</f>
        <v>31</v>
      </c>
      <c r="G227" s="27" t="n">
        <f aca="false">165.24/1.23</f>
        <v>134.341463414634</v>
      </c>
      <c r="H227" s="27" t="n">
        <f aca="false">G227*F227</f>
        <v>4164.58536585366</v>
      </c>
      <c r="I227" s="28" t="n">
        <v>1.207</v>
      </c>
      <c r="J227" s="27" t="n">
        <f aca="false">ROUND(G227*I227,2)</f>
        <v>162.15</v>
      </c>
      <c r="K227" s="27" t="n">
        <f aca="false">J227*F227</f>
        <v>5026.65</v>
      </c>
      <c r="L227" s="60"/>
      <c r="M227" s="60"/>
      <c r="N227" s="60"/>
      <c r="O227" s="60"/>
      <c r="P227" s="60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</row>
    <row r="228" customFormat="false" ht="17.5" hidden="false" customHeight="false" outlineLevel="0" collapsed="false">
      <c r="A228" s="66" t="s">
        <v>227</v>
      </c>
      <c r="B228" s="66"/>
      <c r="C228" s="66"/>
      <c r="D228" s="66"/>
      <c r="E228" s="66"/>
      <c r="F228" s="66"/>
      <c r="G228" s="66"/>
      <c r="H228" s="66"/>
      <c r="I228" s="66"/>
      <c r="J228" s="66"/>
      <c r="K228" s="65" t="n">
        <f aca="false">SUM(K229:K230)</f>
        <v>876</v>
      </c>
      <c r="L228" s="29"/>
      <c r="M228" s="29"/>
      <c r="N228" s="29"/>
      <c r="O228" s="29"/>
      <c r="P228" s="29"/>
    </row>
    <row r="229" customFormat="false" ht="17.5" hidden="false" customHeight="false" outlineLevel="0" collapsed="false">
      <c r="A229" s="23" t="s">
        <v>390</v>
      </c>
      <c r="B229" s="24" t="s">
        <v>57</v>
      </c>
      <c r="C229" s="23" t="n">
        <v>102605</v>
      </c>
      <c r="D229" s="25" t="s">
        <v>229</v>
      </c>
      <c r="E229" s="54" t="s">
        <v>39</v>
      </c>
      <c r="F229" s="26" t="n">
        <v>2</v>
      </c>
      <c r="G229" s="27" t="n">
        <v>278.72</v>
      </c>
      <c r="H229" s="27" t="n">
        <f aca="false">G229*F229</f>
        <v>557.44</v>
      </c>
      <c r="I229" s="28" t="n">
        <v>1.207</v>
      </c>
      <c r="J229" s="27" t="n">
        <f aca="false">ROUND(G229*I229,2)</f>
        <v>336.42</v>
      </c>
      <c r="K229" s="27" t="n">
        <f aca="false">J229*F229</f>
        <v>672.84</v>
      </c>
      <c r="L229" s="29"/>
      <c r="M229" s="29"/>
      <c r="N229" s="29"/>
      <c r="O229" s="29"/>
      <c r="P229" s="29"/>
    </row>
    <row r="230" customFormat="false" ht="17.5" hidden="false" customHeight="false" outlineLevel="0" collapsed="false">
      <c r="A230" s="23" t="s">
        <v>391</v>
      </c>
      <c r="B230" s="24" t="s">
        <v>57</v>
      </c>
      <c r="C230" s="23" t="n">
        <v>89971</v>
      </c>
      <c r="D230" s="25" t="s">
        <v>231</v>
      </c>
      <c r="E230" s="62" t="s">
        <v>39</v>
      </c>
      <c r="F230" s="26" t="n">
        <v>4</v>
      </c>
      <c r="G230" s="27" t="n">
        <v>42.08</v>
      </c>
      <c r="H230" s="27" t="n">
        <f aca="false">G230*F230</f>
        <v>168.32</v>
      </c>
      <c r="I230" s="28" t="n">
        <v>1.207</v>
      </c>
      <c r="J230" s="27" t="n">
        <f aca="false">ROUND(G230*I230,2)</f>
        <v>50.79</v>
      </c>
      <c r="K230" s="27" t="n">
        <f aca="false">J230*F230</f>
        <v>203.16</v>
      </c>
      <c r="L230" s="29"/>
      <c r="M230" s="29"/>
      <c r="N230" s="29"/>
      <c r="O230" s="29"/>
      <c r="P230" s="29"/>
    </row>
    <row r="231" customFormat="false" ht="17.5" hidden="false" customHeight="false" outlineLevel="0" collapsed="false">
      <c r="A231" s="66" t="s">
        <v>232</v>
      </c>
      <c r="B231" s="66"/>
      <c r="C231" s="66"/>
      <c r="D231" s="66"/>
      <c r="E231" s="66"/>
      <c r="F231" s="66"/>
      <c r="G231" s="66"/>
      <c r="H231" s="66"/>
      <c r="I231" s="66"/>
      <c r="J231" s="66"/>
      <c r="K231" s="65" t="n">
        <f aca="false">SUM(K232:K233)</f>
        <v>6107</v>
      </c>
      <c r="L231" s="29"/>
      <c r="M231" s="29"/>
      <c r="N231" s="29"/>
      <c r="O231" s="29"/>
      <c r="P231" s="29"/>
    </row>
    <row r="232" customFormat="false" ht="21.6" hidden="false" customHeight="false" outlineLevel="0" collapsed="false">
      <c r="A232" s="23" t="s">
        <v>392</v>
      </c>
      <c r="B232" s="31" t="s">
        <v>26</v>
      </c>
      <c r="C232" s="54" t="s">
        <v>234</v>
      </c>
      <c r="D232" s="25" t="s">
        <v>393</v>
      </c>
      <c r="E232" s="54" t="s">
        <v>24</v>
      </c>
      <c r="F232" s="26" t="n">
        <f aca="false">'MEMORIAL DE CALCULO'!F393</f>
        <v>94</v>
      </c>
      <c r="G232" s="27" t="n">
        <v>49.33</v>
      </c>
      <c r="H232" s="27" t="n">
        <f aca="false">G232*F232</f>
        <v>4637.02</v>
      </c>
      <c r="I232" s="28" t="n">
        <v>1.207</v>
      </c>
      <c r="J232" s="27" t="n">
        <f aca="false">ROUND(G232*I232,2)</f>
        <v>59.54</v>
      </c>
      <c r="K232" s="27" t="n">
        <f aca="false">J232*F232</f>
        <v>5596.76</v>
      </c>
      <c r="L232" s="60"/>
      <c r="M232" s="60"/>
      <c r="N232" s="60"/>
      <c r="O232" s="60"/>
      <c r="P232" s="60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</row>
    <row r="233" customFormat="false" ht="17.5" hidden="false" customHeight="false" outlineLevel="0" collapsed="false">
      <c r="A233" s="23" t="s">
        <v>394</v>
      </c>
      <c r="B233" s="31" t="s">
        <v>26</v>
      </c>
      <c r="C233" s="54" t="s">
        <v>237</v>
      </c>
      <c r="D233" s="25" t="s">
        <v>238</v>
      </c>
      <c r="E233" s="54" t="s">
        <v>39</v>
      </c>
      <c r="F233" s="26" t="n">
        <f aca="false">'MEMORIAL DE CALCULO'!F394</f>
        <v>4</v>
      </c>
      <c r="G233" s="27" t="n">
        <v>105.68</v>
      </c>
      <c r="H233" s="27" t="n">
        <f aca="false">G233*F233</f>
        <v>422.72</v>
      </c>
      <c r="I233" s="28" t="n">
        <v>1.207</v>
      </c>
      <c r="J233" s="27" t="n">
        <f aca="false">ROUND(G233*I233,2)</f>
        <v>127.56</v>
      </c>
      <c r="K233" s="27" t="n">
        <f aca="false">J233*F233</f>
        <v>510.24</v>
      </c>
      <c r="L233" s="60"/>
      <c r="M233" s="60"/>
      <c r="N233" s="60"/>
      <c r="O233" s="60"/>
      <c r="P233" s="60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</row>
    <row r="234" customFormat="false" ht="17.5" hidden="false" customHeight="false" outlineLevel="0" collapsed="false">
      <c r="A234" s="32"/>
      <c r="B234" s="32"/>
      <c r="C234" s="32"/>
      <c r="D234" s="32"/>
      <c r="E234" s="32"/>
      <c r="F234" s="32"/>
      <c r="G234" s="33" t="s">
        <v>395</v>
      </c>
      <c r="H234" s="33"/>
      <c r="I234" s="33"/>
      <c r="J234" s="33"/>
      <c r="K234" s="34" t="n">
        <f aca="false">K231+K228+K223+K220+K215+K211+K208+K199+K191+K183+K170+K160</f>
        <v>256033.0422148</v>
      </c>
      <c r="L234" s="29"/>
      <c r="M234" s="29"/>
      <c r="N234" s="29"/>
      <c r="O234" s="29"/>
      <c r="P234" s="29"/>
    </row>
    <row r="235" customFormat="false" ht="17.5" hidden="false" customHeight="false" outlineLevel="0" collapsed="false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customFormat="false" ht="17.5" hidden="false" customHeight="false" outlineLevel="0" collapsed="false">
      <c r="A236" s="20" t="s">
        <v>396</v>
      </c>
      <c r="B236" s="63" t="s">
        <v>397</v>
      </c>
      <c r="C236" s="63"/>
      <c r="D236" s="63"/>
      <c r="E236" s="63"/>
      <c r="F236" s="63"/>
      <c r="G236" s="63"/>
      <c r="H236" s="63"/>
      <c r="I236" s="63"/>
      <c r="J236" s="63"/>
      <c r="K236" s="63"/>
    </row>
    <row r="237" customFormat="false" ht="17.5" hidden="false" customHeight="false" outlineLevel="0" collapsed="false">
      <c r="A237" s="23" t="s">
        <v>398</v>
      </c>
      <c r="B237" s="30" t="s">
        <v>21</v>
      </c>
      <c r="C237" s="23" t="s">
        <v>399</v>
      </c>
      <c r="D237" s="41" t="s">
        <v>400</v>
      </c>
      <c r="E237" s="23" t="s">
        <v>19</v>
      </c>
      <c r="F237" s="36" t="n">
        <f aca="false">'MEMORIAL DE CALCULO'!F397</f>
        <v>80</v>
      </c>
      <c r="G237" s="37" t="n">
        <f aca="false">5.12/1.23</f>
        <v>4.16260162601626</v>
      </c>
      <c r="H237" s="37" t="n">
        <f aca="false">F237*G237</f>
        <v>333.008130081301</v>
      </c>
      <c r="I237" s="38" t="n">
        <v>1.207</v>
      </c>
      <c r="J237" s="37" t="n">
        <f aca="false">ROUND(G237*I237,2)</f>
        <v>5.02</v>
      </c>
      <c r="K237" s="37" t="n">
        <f aca="false">J237*F237</f>
        <v>401.6</v>
      </c>
    </row>
    <row r="238" customFormat="false" ht="17.5" hidden="false" customHeight="false" outlineLevel="0" collapsed="false">
      <c r="A238" s="23" t="s">
        <v>401</v>
      </c>
      <c r="B238" s="30" t="s">
        <v>21</v>
      </c>
      <c r="C238" s="23" t="s">
        <v>273</v>
      </c>
      <c r="D238" s="41" t="s">
        <v>274</v>
      </c>
      <c r="E238" s="23" t="s">
        <v>49</v>
      </c>
      <c r="F238" s="36" t="n">
        <f aca="false">'MEMORIAL DE CALCULO'!F398</f>
        <v>16</v>
      </c>
      <c r="G238" s="37" t="n">
        <f aca="false">12.67/1.23</f>
        <v>10.3008130081301</v>
      </c>
      <c r="H238" s="37" t="n">
        <f aca="false">F238*G238</f>
        <v>164.813008130081</v>
      </c>
      <c r="I238" s="38" t="n">
        <v>1.207</v>
      </c>
      <c r="J238" s="37" t="n">
        <f aca="false">ROUND(G238*I238,2)</f>
        <v>12.43</v>
      </c>
      <c r="K238" s="37" t="n">
        <f aca="false">J238*F238</f>
        <v>198.88</v>
      </c>
    </row>
    <row r="239" customFormat="false" ht="17.5" hidden="false" customHeight="false" outlineLevel="0" collapsed="false">
      <c r="A239" s="23" t="s">
        <v>402</v>
      </c>
      <c r="B239" s="30" t="s">
        <v>21</v>
      </c>
      <c r="C239" s="23" t="s">
        <v>254</v>
      </c>
      <c r="D239" s="25" t="s">
        <v>255</v>
      </c>
      <c r="E239" s="23" t="s">
        <v>49</v>
      </c>
      <c r="F239" s="26" t="n">
        <f aca="false">'MEMORIAL DE CALCULO'!F399</f>
        <v>20</v>
      </c>
      <c r="G239" s="40" t="n">
        <f aca="false">116/1.23</f>
        <v>94.3089430894309</v>
      </c>
      <c r="H239" s="37" t="n">
        <f aca="false">F239*G239</f>
        <v>1886.17886178862</v>
      </c>
      <c r="I239" s="38" t="n">
        <v>1.207</v>
      </c>
      <c r="J239" s="37" t="n">
        <f aca="false">ROUND(G239*I239,2)</f>
        <v>113.83</v>
      </c>
      <c r="K239" s="40" t="n">
        <f aca="false">J239*F239</f>
        <v>2276.6</v>
      </c>
    </row>
    <row r="240" customFormat="false" ht="21.6" hidden="false" customHeight="false" outlineLevel="0" collapsed="false">
      <c r="A240" s="23" t="s">
        <v>403</v>
      </c>
      <c r="B240" s="24" t="s">
        <v>57</v>
      </c>
      <c r="C240" s="23" t="n">
        <v>100982</v>
      </c>
      <c r="D240" s="41" t="s">
        <v>257</v>
      </c>
      <c r="E240" s="23" t="s">
        <v>49</v>
      </c>
      <c r="F240" s="36" t="n">
        <f aca="false">'MEMORIAL DE CALCULO'!F400</f>
        <v>20</v>
      </c>
      <c r="G240" s="37" t="n">
        <v>9.38</v>
      </c>
      <c r="H240" s="37" t="n">
        <f aca="false">F240*G240</f>
        <v>187.6</v>
      </c>
      <c r="I240" s="38" t="n">
        <v>1.207</v>
      </c>
      <c r="J240" s="37" t="n">
        <f aca="false">ROUND(G240*I240,2)</f>
        <v>11.32</v>
      </c>
      <c r="K240" s="37" t="n">
        <f aca="false">J240*F240</f>
        <v>226.4</v>
      </c>
    </row>
    <row r="241" customFormat="false" ht="17.5" hidden="false" customHeight="false" outlineLevel="0" collapsed="false">
      <c r="A241" s="23" t="s">
        <v>404</v>
      </c>
      <c r="B241" s="24" t="s">
        <v>57</v>
      </c>
      <c r="C241" s="23" t="n">
        <v>95875</v>
      </c>
      <c r="D241" s="41" t="s">
        <v>259</v>
      </c>
      <c r="E241" s="23" t="s">
        <v>260</v>
      </c>
      <c r="F241" s="36" t="n">
        <f aca="false">'MEMORIAL DE CALCULO'!F401</f>
        <v>200</v>
      </c>
      <c r="G241" s="37" t="n">
        <v>2.57</v>
      </c>
      <c r="H241" s="37" t="n">
        <f aca="false">F241*G241</f>
        <v>514</v>
      </c>
      <c r="I241" s="38" t="n">
        <v>1.207</v>
      </c>
      <c r="J241" s="37" t="n">
        <f aca="false">ROUND(G241*I241,2)</f>
        <v>3.1</v>
      </c>
      <c r="K241" s="37" t="n">
        <f aca="false">J241*F241</f>
        <v>620</v>
      </c>
    </row>
    <row r="242" customFormat="false" ht="17.5" hidden="false" customHeight="false" outlineLevel="0" collapsed="false">
      <c r="A242" s="23" t="s">
        <v>405</v>
      </c>
      <c r="B242" s="24" t="s">
        <v>64</v>
      </c>
      <c r="C242" s="23" t="n">
        <v>97113</v>
      </c>
      <c r="D242" s="25" t="s">
        <v>65</v>
      </c>
      <c r="E242" s="23" t="s">
        <v>19</v>
      </c>
      <c r="F242" s="26" t="n">
        <v>80</v>
      </c>
      <c r="G242" s="27" t="n">
        <v>1.62</v>
      </c>
      <c r="H242" s="37" t="n">
        <f aca="false">F242*G242</f>
        <v>129.6</v>
      </c>
      <c r="I242" s="38" t="n">
        <v>1.207</v>
      </c>
      <c r="J242" s="37" t="n">
        <f aca="false">ROUND(G242*I242,2)</f>
        <v>1.96</v>
      </c>
      <c r="K242" s="27" t="n">
        <f aca="false">J242*F242</f>
        <v>156.8</v>
      </c>
      <c r="L242" s="29"/>
      <c r="M242" s="42"/>
      <c r="N242" s="29"/>
      <c r="O242" s="29"/>
      <c r="P242" s="29"/>
    </row>
    <row r="243" customFormat="false" ht="17.5" hidden="false" customHeight="false" outlineLevel="0" collapsed="false">
      <c r="A243" s="23" t="s">
        <v>406</v>
      </c>
      <c r="B243" s="30" t="s">
        <v>21</v>
      </c>
      <c r="C243" s="23" t="s">
        <v>69</v>
      </c>
      <c r="D243" s="25" t="s">
        <v>70</v>
      </c>
      <c r="E243" s="23" t="s">
        <v>19</v>
      </c>
      <c r="F243" s="26" t="n">
        <v>80</v>
      </c>
      <c r="G243" s="27" t="n">
        <f aca="false">17.2/1.23</f>
        <v>13.9837398373984</v>
      </c>
      <c r="H243" s="37" t="n">
        <f aca="false">F243*G243</f>
        <v>1118.69918699187</v>
      </c>
      <c r="I243" s="38" t="n">
        <v>1.207</v>
      </c>
      <c r="J243" s="37" t="n">
        <f aca="false">ROUND(G243*I243,2)</f>
        <v>16.88</v>
      </c>
      <c r="K243" s="27" t="n">
        <f aca="false">J243*F243</f>
        <v>1350.4</v>
      </c>
      <c r="L243" s="29"/>
      <c r="M243" s="29"/>
      <c r="N243" s="29"/>
      <c r="O243" s="29"/>
      <c r="P243" s="29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</row>
    <row r="244" customFormat="false" ht="17.5" hidden="false" customHeight="false" outlineLevel="0" collapsed="false">
      <c r="A244" s="23" t="s">
        <v>407</v>
      </c>
      <c r="B244" s="24" t="s">
        <v>57</v>
      </c>
      <c r="C244" s="23" t="n">
        <v>100324</v>
      </c>
      <c r="D244" s="41" t="s">
        <v>262</v>
      </c>
      <c r="E244" s="23" t="s">
        <v>49</v>
      </c>
      <c r="F244" s="36" t="n">
        <f aca="false">'MEMORIAL DE CALCULO'!F404</f>
        <v>8</v>
      </c>
      <c r="G244" s="37" t="n">
        <v>164.88</v>
      </c>
      <c r="H244" s="37" t="n">
        <f aca="false">F244*G244</f>
        <v>1319.04</v>
      </c>
      <c r="I244" s="38" t="n">
        <v>1.207</v>
      </c>
      <c r="J244" s="37" t="n">
        <f aca="false">ROUND(G244*I244,2)</f>
        <v>199.01</v>
      </c>
      <c r="K244" s="37" t="n">
        <f aca="false">J244*F244</f>
        <v>1592.08</v>
      </c>
    </row>
    <row r="245" customFormat="false" ht="17.5" hidden="false" customHeight="false" outlineLevel="0" collapsed="false">
      <c r="A245" s="23" t="s">
        <v>408</v>
      </c>
      <c r="B245" s="24" t="s">
        <v>57</v>
      </c>
      <c r="C245" s="23" t="n">
        <v>101749</v>
      </c>
      <c r="D245" s="41" t="s">
        <v>264</v>
      </c>
      <c r="E245" s="23" t="s">
        <v>19</v>
      </c>
      <c r="F245" s="36" t="n">
        <f aca="false">'MEMORIAL DE CALCULO'!F405</f>
        <v>80</v>
      </c>
      <c r="G245" s="37" t="n">
        <v>53.82</v>
      </c>
      <c r="H245" s="37" t="n">
        <f aca="false">F245*G245</f>
        <v>4305.6</v>
      </c>
      <c r="I245" s="38" t="n">
        <v>1.207</v>
      </c>
      <c r="J245" s="37" t="n">
        <f aca="false">ROUND(G245*I245,2)</f>
        <v>64.96</v>
      </c>
      <c r="K245" s="37" t="n">
        <f aca="false">J245*F245</f>
        <v>5196.8</v>
      </c>
    </row>
    <row r="246" customFormat="false" ht="17.5" hidden="false" customHeight="false" outlineLevel="0" collapsed="false">
      <c r="A246" s="23" t="s">
        <v>409</v>
      </c>
      <c r="B246" s="24" t="s">
        <v>57</v>
      </c>
      <c r="C246" s="23" t="n">
        <v>94990</v>
      </c>
      <c r="D246" s="41" t="s">
        <v>266</v>
      </c>
      <c r="E246" s="23" t="s">
        <v>49</v>
      </c>
      <c r="F246" s="36" t="n">
        <f aca="false">'MEMORIAL DE CALCULO'!F406</f>
        <v>12</v>
      </c>
      <c r="G246" s="37" t="n">
        <v>741.92</v>
      </c>
      <c r="H246" s="37" t="n">
        <f aca="false">F246*G246</f>
        <v>8903.04</v>
      </c>
      <c r="I246" s="38" t="n">
        <v>1.207</v>
      </c>
      <c r="J246" s="37" t="n">
        <f aca="false">ROUND(G246*I246,2)</f>
        <v>895.5</v>
      </c>
      <c r="K246" s="37" t="n">
        <f aca="false">J246*F246</f>
        <v>10746</v>
      </c>
    </row>
    <row r="247" customFormat="false" ht="17.5" hidden="false" customHeight="false" outlineLevel="0" collapsed="false">
      <c r="A247" s="23" t="s">
        <v>410</v>
      </c>
      <c r="B247" s="30" t="s">
        <v>21</v>
      </c>
      <c r="C247" s="23" t="s">
        <v>281</v>
      </c>
      <c r="D247" s="41" t="s">
        <v>282</v>
      </c>
      <c r="E247" s="23" t="s">
        <v>19</v>
      </c>
      <c r="F247" s="36" t="n">
        <f aca="false">F243</f>
        <v>80</v>
      </c>
      <c r="G247" s="37" t="n">
        <f aca="false">34.18/1.23</f>
        <v>27.7886178861789</v>
      </c>
      <c r="H247" s="37" t="n">
        <f aca="false">F247*G247</f>
        <v>2223.08943089431</v>
      </c>
      <c r="I247" s="38" t="n">
        <v>1.207</v>
      </c>
      <c r="J247" s="37" t="n">
        <f aca="false">ROUND(G247*I247,2)</f>
        <v>33.54</v>
      </c>
      <c r="K247" s="37" t="n">
        <f aca="false">J247*F247</f>
        <v>2683.2</v>
      </c>
    </row>
    <row r="248" customFormat="false" ht="17.5" hidden="false" customHeight="false" outlineLevel="0" collapsed="false">
      <c r="A248" s="32"/>
      <c r="B248" s="32"/>
      <c r="C248" s="32"/>
      <c r="D248" s="32"/>
      <c r="E248" s="32"/>
      <c r="F248" s="32"/>
      <c r="G248" s="33" t="s">
        <v>411</v>
      </c>
      <c r="H248" s="33"/>
      <c r="I248" s="33"/>
      <c r="J248" s="33"/>
      <c r="K248" s="34" t="n">
        <f aca="false">SUM(K237:K247)</f>
        <v>25448.76</v>
      </c>
      <c r="L248" s="29"/>
      <c r="M248" s="29"/>
      <c r="N248" s="29"/>
      <c r="O248" s="29"/>
      <c r="P248" s="29"/>
    </row>
    <row r="249" customFormat="false" ht="17.5" hidden="false" customHeight="false" outlineLevel="0" collapsed="false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 customFormat="false" ht="17.5" hidden="false" customHeight="false" outlineLevel="0" collapsed="false">
      <c r="A250" s="20" t="s">
        <v>412</v>
      </c>
      <c r="B250" s="63" t="str">
        <f aca="false">'MEMORIAL DE CALCULO'!B408:K408</f>
        <v>PARQUINHO INFANTIL </v>
      </c>
      <c r="C250" s="63"/>
      <c r="D250" s="63"/>
      <c r="E250" s="63"/>
      <c r="F250" s="63"/>
      <c r="G250" s="63"/>
      <c r="H250" s="63"/>
      <c r="I250" s="63"/>
      <c r="J250" s="63"/>
      <c r="K250" s="63"/>
    </row>
    <row r="251" customFormat="false" ht="17.5" hidden="false" customHeight="false" outlineLevel="0" collapsed="false">
      <c r="A251" s="23" t="s">
        <v>413</v>
      </c>
      <c r="B251" s="31" t="s">
        <v>26</v>
      </c>
      <c r="C251" s="23" t="s">
        <v>414</v>
      </c>
      <c r="D251" s="41" t="s">
        <v>415</v>
      </c>
      <c r="E251" s="23" t="s">
        <v>204</v>
      </c>
      <c r="F251" s="36" t="n">
        <v>2</v>
      </c>
      <c r="G251" s="37" t="n">
        <v>5591.79</v>
      </c>
      <c r="H251" s="37" t="n">
        <f aca="false">F251*G251</f>
        <v>11183.58</v>
      </c>
      <c r="I251" s="38" t="n">
        <v>1.207</v>
      </c>
      <c r="J251" s="37" t="n">
        <f aca="false">ROUND(G251*I251,2)</f>
        <v>6749.29</v>
      </c>
      <c r="K251" s="37" t="n">
        <f aca="false">J251*F251</f>
        <v>13498.58</v>
      </c>
    </row>
    <row r="252" customFormat="false" ht="17.5" hidden="false" customHeight="false" outlineLevel="0" collapsed="false">
      <c r="A252" s="23" t="s">
        <v>416</v>
      </c>
      <c r="B252" s="31" t="s">
        <v>26</v>
      </c>
      <c r="C252" s="23" t="s">
        <v>417</v>
      </c>
      <c r="D252" s="41" t="s">
        <v>418</v>
      </c>
      <c r="E252" s="23" t="s">
        <v>204</v>
      </c>
      <c r="F252" s="36" t="n">
        <v>3</v>
      </c>
      <c r="G252" s="37" t="n">
        <v>3083.35</v>
      </c>
      <c r="H252" s="37" t="n">
        <f aca="false">F252*G252</f>
        <v>9250.05</v>
      </c>
      <c r="I252" s="38" t="n">
        <v>1.207</v>
      </c>
      <c r="J252" s="37" t="n">
        <f aca="false">ROUND(G252*I252,2)</f>
        <v>3721.6</v>
      </c>
      <c r="K252" s="37" t="n">
        <f aca="false">J252*F252</f>
        <v>11164.8</v>
      </c>
    </row>
    <row r="253" customFormat="false" ht="17.5" hidden="false" customHeight="false" outlineLevel="0" collapsed="false">
      <c r="A253" s="23" t="s">
        <v>419</v>
      </c>
      <c r="B253" s="31" t="s">
        <v>26</v>
      </c>
      <c r="C253" s="23" t="s">
        <v>420</v>
      </c>
      <c r="D253" s="41" t="s">
        <v>421</v>
      </c>
      <c r="E253" s="23" t="s">
        <v>204</v>
      </c>
      <c r="F253" s="36" t="n">
        <v>3</v>
      </c>
      <c r="G253" s="37" t="n">
        <v>1890.88</v>
      </c>
      <c r="H253" s="37" t="n">
        <f aca="false">F253*G253</f>
        <v>5672.64</v>
      </c>
      <c r="I253" s="38" t="n">
        <v>1.207</v>
      </c>
      <c r="J253" s="37" t="n">
        <f aca="false">ROUND(G253*I253,2)</f>
        <v>2282.29</v>
      </c>
      <c r="K253" s="37" t="n">
        <f aca="false">J253*F253</f>
        <v>6846.87</v>
      </c>
    </row>
    <row r="254" customFormat="false" ht="17.5" hidden="false" customHeight="false" outlineLevel="0" collapsed="false">
      <c r="A254" s="23" t="s">
        <v>422</v>
      </c>
      <c r="B254" s="31" t="s">
        <v>26</v>
      </c>
      <c r="C254" s="23" t="s">
        <v>423</v>
      </c>
      <c r="D254" s="41" t="s">
        <v>424</v>
      </c>
      <c r="E254" s="23" t="s">
        <v>204</v>
      </c>
      <c r="F254" s="36" t="n">
        <v>3</v>
      </c>
      <c r="G254" s="37" t="n">
        <v>3604.15</v>
      </c>
      <c r="H254" s="37" t="n">
        <f aca="false">F254*G254</f>
        <v>10812.45</v>
      </c>
      <c r="I254" s="38" t="n">
        <v>1.207</v>
      </c>
      <c r="J254" s="37" t="n">
        <f aca="false">ROUND(G254*I254,2)</f>
        <v>4350.21</v>
      </c>
      <c r="K254" s="37" t="n">
        <f aca="false">J254*F254</f>
        <v>13050.63</v>
      </c>
    </row>
    <row r="255" customFormat="false" ht="17.5" hidden="false" customHeight="false" outlineLevel="0" collapsed="false">
      <c r="A255" s="32"/>
      <c r="B255" s="32"/>
      <c r="C255" s="32"/>
      <c r="D255" s="32"/>
      <c r="E255" s="32"/>
      <c r="F255" s="32"/>
      <c r="G255" s="33" t="s">
        <v>425</v>
      </c>
      <c r="H255" s="33"/>
      <c r="I255" s="33"/>
      <c r="J255" s="33"/>
      <c r="K255" s="34" t="n">
        <f aca="false">SUM(K251:K254)</f>
        <v>44560.88</v>
      </c>
      <c r="L255" s="29"/>
      <c r="M255" s="29"/>
      <c r="N255" s="29"/>
      <c r="O255" s="29"/>
      <c r="P255" s="29"/>
    </row>
    <row r="256" customFormat="false" ht="17.5" hidden="false" customHeight="false" outlineLevel="0" collapsed="false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customFormat="false" ht="17.5" hidden="false" customHeight="false" outlineLevel="0" collapsed="false">
      <c r="A257" s="20" t="s">
        <v>426</v>
      </c>
      <c r="B257" s="21" t="s">
        <v>427</v>
      </c>
      <c r="C257" s="21"/>
      <c r="D257" s="21"/>
      <c r="E257" s="21"/>
      <c r="F257" s="21"/>
      <c r="G257" s="21"/>
      <c r="H257" s="21"/>
      <c r="I257" s="21"/>
      <c r="J257" s="21"/>
      <c r="K257" s="22"/>
    </row>
    <row r="258" customFormat="false" ht="17.5" hidden="false" customHeight="false" outlineLevel="0" collapsed="false">
      <c r="A258" s="66" t="s">
        <v>428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65" t="n">
        <f aca="false">SUM(K259:K277)</f>
        <v>70447.494246</v>
      </c>
      <c r="L258" s="29"/>
      <c r="M258" s="29"/>
      <c r="N258" s="29"/>
      <c r="O258" s="29"/>
      <c r="P258" s="29"/>
    </row>
    <row r="259" customFormat="false" ht="17.5" hidden="false" customHeight="false" outlineLevel="0" collapsed="false">
      <c r="A259" s="23" t="s">
        <v>429</v>
      </c>
      <c r="B259" s="45" t="s">
        <v>21</v>
      </c>
      <c r="C259" s="23" t="s">
        <v>99</v>
      </c>
      <c r="D259" s="25" t="s">
        <v>100</v>
      </c>
      <c r="E259" s="23" t="s">
        <v>24</v>
      </c>
      <c r="F259" s="26" t="n">
        <f aca="false">'MEMORIAL DE CALCULO'!F416</f>
        <v>12</v>
      </c>
      <c r="G259" s="27" t="n">
        <f aca="false">78.5/1.23</f>
        <v>63.8211382113821</v>
      </c>
      <c r="H259" s="27" t="n">
        <f aca="false">G259*F259</f>
        <v>765.853658536585</v>
      </c>
      <c r="I259" s="28" t="n">
        <v>1.207</v>
      </c>
      <c r="J259" s="27" t="n">
        <f aca="false">ROUND(G259*I259,2)</f>
        <v>77.03</v>
      </c>
      <c r="K259" s="27" t="n">
        <f aca="false">J259*F259</f>
        <v>924.36</v>
      </c>
      <c r="L259" s="29"/>
      <c r="M259" s="29"/>
      <c r="N259" s="29"/>
      <c r="O259" s="29"/>
      <c r="P259" s="29"/>
    </row>
    <row r="260" customFormat="false" ht="17.5" hidden="false" customHeight="false" outlineLevel="0" collapsed="false">
      <c r="A260" s="23" t="s">
        <v>430</v>
      </c>
      <c r="B260" s="24" t="s">
        <v>57</v>
      </c>
      <c r="C260" s="23" t="n">
        <v>92800</v>
      </c>
      <c r="D260" s="25" t="s">
        <v>102</v>
      </c>
      <c r="E260" s="23" t="s">
        <v>103</v>
      </c>
      <c r="F260" s="26" t="n">
        <f aca="false">'MEMORIAL DE CALCULO'!F421</f>
        <v>12.8128</v>
      </c>
      <c r="G260" s="27" t="n">
        <v>10.04</v>
      </c>
      <c r="H260" s="27" t="n">
        <f aca="false">G260*F260</f>
        <v>128.640512</v>
      </c>
      <c r="I260" s="28" t="n">
        <v>1.207</v>
      </c>
      <c r="J260" s="27" t="n">
        <f aca="false">ROUND(G260*I260,2)</f>
        <v>12.12</v>
      </c>
      <c r="K260" s="27" t="n">
        <f aca="false">J260*F260</f>
        <v>155.291136</v>
      </c>
      <c r="L260" s="29"/>
      <c r="M260" s="29"/>
      <c r="N260" s="29"/>
      <c r="O260" s="29"/>
      <c r="P260" s="29"/>
    </row>
    <row r="261" customFormat="false" ht="17.5" hidden="false" customHeight="false" outlineLevel="0" collapsed="false">
      <c r="A261" s="23" t="s">
        <v>431</v>
      </c>
      <c r="B261" s="24" t="s">
        <v>57</v>
      </c>
      <c r="C261" s="23" t="n">
        <v>92803</v>
      </c>
      <c r="D261" s="25" t="s">
        <v>105</v>
      </c>
      <c r="E261" s="23" t="s">
        <v>103</v>
      </c>
      <c r="F261" s="26" t="n">
        <f aca="false">'MEMORIAL DE CALCULO'!F427</f>
        <v>29.616</v>
      </c>
      <c r="G261" s="27" t="n">
        <v>8.88</v>
      </c>
      <c r="H261" s="27" t="n">
        <f aca="false">G261*F261</f>
        <v>262.99008</v>
      </c>
      <c r="I261" s="28" t="n">
        <v>1.207</v>
      </c>
      <c r="J261" s="27" t="n">
        <f aca="false">ROUND(G261*I261,2)</f>
        <v>10.72</v>
      </c>
      <c r="K261" s="27" t="n">
        <f aca="false">J261*F261</f>
        <v>317.48352</v>
      </c>
      <c r="L261" s="29"/>
      <c r="M261" s="29"/>
      <c r="N261" s="29"/>
      <c r="O261" s="29"/>
      <c r="P261" s="2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customFormat="false" ht="17.5" hidden="false" customHeight="false" outlineLevel="0" collapsed="false">
      <c r="A262" s="23" t="s">
        <v>432</v>
      </c>
      <c r="B262" s="24" t="s">
        <v>57</v>
      </c>
      <c r="C262" s="23" t="n">
        <v>96526</v>
      </c>
      <c r="D262" s="25" t="s">
        <v>107</v>
      </c>
      <c r="E262" s="23" t="s">
        <v>49</v>
      </c>
      <c r="F262" s="26" t="n">
        <f aca="false">'MEMORIAL DE CALCULO'!F431</f>
        <v>2.52</v>
      </c>
      <c r="G262" s="27" t="n">
        <v>266.21</v>
      </c>
      <c r="H262" s="27" t="n">
        <f aca="false">G262*F262</f>
        <v>670.8492</v>
      </c>
      <c r="I262" s="28" t="n">
        <v>1.207</v>
      </c>
      <c r="J262" s="27" t="n">
        <f aca="false">ROUND(G262*I262,2)</f>
        <v>321.32</v>
      </c>
      <c r="K262" s="27" t="n">
        <f aca="false">J262*F262</f>
        <v>809.7264</v>
      </c>
      <c r="L262" s="29"/>
      <c r="M262" s="29"/>
      <c r="N262" s="29"/>
      <c r="O262" s="29"/>
      <c r="P262" s="29"/>
    </row>
    <row r="263" customFormat="false" ht="17.5" hidden="false" customHeight="false" outlineLevel="0" collapsed="false">
      <c r="A263" s="23" t="s">
        <v>433</v>
      </c>
      <c r="B263" s="24" t="s">
        <v>57</v>
      </c>
      <c r="C263" s="23" t="n">
        <v>101619</v>
      </c>
      <c r="D263" s="25" t="s">
        <v>109</v>
      </c>
      <c r="E263" s="23" t="s">
        <v>49</v>
      </c>
      <c r="F263" s="26" t="n">
        <f aca="false">'MEMORIAL DE CALCULO'!F435</f>
        <v>0.63</v>
      </c>
      <c r="G263" s="27" t="n">
        <v>297.55</v>
      </c>
      <c r="H263" s="27" t="n">
        <f aca="false">G263*F263</f>
        <v>187.4565</v>
      </c>
      <c r="I263" s="28" t="n">
        <v>1.207</v>
      </c>
      <c r="J263" s="27" t="n">
        <f aca="false">ROUND(G263*I263,2)</f>
        <v>359.14</v>
      </c>
      <c r="K263" s="27" t="n">
        <f aca="false">J263*F263</f>
        <v>226.2582</v>
      </c>
      <c r="L263" s="29"/>
      <c r="M263" s="29"/>
      <c r="N263" s="29"/>
      <c r="O263" s="29"/>
      <c r="P263" s="29"/>
    </row>
    <row r="264" customFormat="false" ht="17.5" hidden="false" customHeight="false" outlineLevel="0" collapsed="false">
      <c r="A264" s="23" t="s">
        <v>434</v>
      </c>
      <c r="B264" s="24" t="s">
        <v>57</v>
      </c>
      <c r="C264" s="23" t="n">
        <v>92800</v>
      </c>
      <c r="D264" s="25" t="s">
        <v>102</v>
      </c>
      <c r="E264" s="23" t="s">
        <v>103</v>
      </c>
      <c r="F264" s="26" t="n">
        <f aca="false">'MEMORIAL DE CALCULO'!F437</f>
        <v>31.0464</v>
      </c>
      <c r="G264" s="27" t="n">
        <v>10.04</v>
      </c>
      <c r="H264" s="27" t="n">
        <f aca="false">G264*F264</f>
        <v>311.705856</v>
      </c>
      <c r="I264" s="28" t="n">
        <v>1.207</v>
      </c>
      <c r="J264" s="27" t="n">
        <f aca="false">ROUND(G264*I264,2)</f>
        <v>12.12</v>
      </c>
      <c r="K264" s="27" t="n">
        <f aca="false">J264*F264</f>
        <v>376.282368</v>
      </c>
      <c r="L264" s="29"/>
      <c r="M264" s="29"/>
      <c r="N264" s="29"/>
      <c r="O264" s="29"/>
      <c r="P264" s="29"/>
    </row>
    <row r="265" customFormat="false" ht="17.5" hidden="false" customHeight="false" outlineLevel="0" collapsed="false">
      <c r="A265" s="23" t="s">
        <v>435</v>
      </c>
      <c r="B265" s="24" t="s">
        <v>57</v>
      </c>
      <c r="C265" s="23" t="n">
        <v>92803</v>
      </c>
      <c r="D265" s="25" t="s">
        <v>105</v>
      </c>
      <c r="E265" s="23" t="s">
        <v>103</v>
      </c>
      <c r="F265" s="26" t="n">
        <f aca="false">'MEMORIAL DE CALCULO'!F442</f>
        <v>51.828</v>
      </c>
      <c r="G265" s="27" t="n">
        <v>8.84</v>
      </c>
      <c r="H265" s="27" t="n">
        <f aca="false">G265*F265</f>
        <v>458.15952</v>
      </c>
      <c r="I265" s="28" t="n">
        <v>1.207</v>
      </c>
      <c r="J265" s="27" t="n">
        <f aca="false">ROUND(G265*I265,2)</f>
        <v>10.67</v>
      </c>
      <c r="K265" s="27" t="n">
        <f aca="false">J265*F265</f>
        <v>553.00476</v>
      </c>
      <c r="L265" s="29"/>
      <c r="M265" s="29"/>
      <c r="N265" s="29"/>
      <c r="O265" s="29"/>
      <c r="P265" s="2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customFormat="false" ht="17.5" hidden="false" customHeight="false" outlineLevel="0" collapsed="false">
      <c r="A266" s="23" t="s">
        <v>436</v>
      </c>
      <c r="B266" s="47" t="s">
        <v>57</v>
      </c>
      <c r="C266" s="48" t="n">
        <v>96557</v>
      </c>
      <c r="D266" s="49" t="s">
        <v>113</v>
      </c>
      <c r="E266" s="48" t="s">
        <v>49</v>
      </c>
      <c r="F266" s="50" t="n">
        <f aca="false">'MEMORIAL DE CALCULO'!F446</f>
        <v>2.52</v>
      </c>
      <c r="G266" s="51" t="n">
        <v>619.17</v>
      </c>
      <c r="H266" s="27" t="n">
        <f aca="false">G266*F266</f>
        <v>1560.3084</v>
      </c>
      <c r="I266" s="28" t="n">
        <v>1.207</v>
      </c>
      <c r="J266" s="51" t="n">
        <f aca="false">ROUND(G266*I266,2)</f>
        <v>747.34</v>
      </c>
      <c r="K266" s="51" t="n">
        <f aca="false">J266*F266</f>
        <v>1883.2968</v>
      </c>
      <c r="L266" s="52"/>
      <c r="M266" s="52"/>
      <c r="N266" s="52"/>
      <c r="O266" s="52"/>
      <c r="P266" s="52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</row>
    <row r="267" customFormat="false" ht="17.5" hidden="false" customHeight="false" outlineLevel="0" collapsed="false">
      <c r="A267" s="23" t="s">
        <v>437</v>
      </c>
      <c r="B267" s="24" t="s">
        <v>64</v>
      </c>
      <c r="C267" s="23" t="n">
        <v>97113</v>
      </c>
      <c r="D267" s="25" t="s">
        <v>65</v>
      </c>
      <c r="E267" s="23" t="s">
        <v>19</v>
      </c>
      <c r="F267" s="26" t="n">
        <f aca="false">'MEMORIAL DE CALCULO'!F447</f>
        <v>29</v>
      </c>
      <c r="G267" s="27" t="n">
        <v>1.62</v>
      </c>
      <c r="H267" s="27" t="n">
        <f aca="false">G267*F267</f>
        <v>46.98</v>
      </c>
      <c r="I267" s="28" t="n">
        <v>1.207</v>
      </c>
      <c r="J267" s="27" t="n">
        <f aca="false">ROUND(G267*I267,2)</f>
        <v>1.96</v>
      </c>
      <c r="K267" s="27" t="n">
        <f aca="false">J267*F267</f>
        <v>56.84</v>
      </c>
      <c r="L267" s="29"/>
      <c r="M267" s="42"/>
      <c r="N267" s="29"/>
      <c r="O267" s="29"/>
      <c r="P267" s="29"/>
    </row>
    <row r="268" customFormat="false" ht="17.5" hidden="false" customHeight="false" outlineLevel="0" collapsed="false">
      <c r="A268" s="23" t="s">
        <v>438</v>
      </c>
      <c r="B268" s="45" t="s">
        <v>21</v>
      </c>
      <c r="C268" s="23" t="s">
        <v>69</v>
      </c>
      <c r="D268" s="25" t="s">
        <v>70</v>
      </c>
      <c r="E268" s="23" t="s">
        <v>19</v>
      </c>
      <c r="F268" s="26" t="n">
        <f aca="false">'MEMORIAL DE CALCULO'!F448</f>
        <v>29</v>
      </c>
      <c r="G268" s="27" t="n">
        <f aca="false">17.2/1.23</f>
        <v>13.9837398373984</v>
      </c>
      <c r="H268" s="27" t="n">
        <f aca="false">G268*F268</f>
        <v>405.528455284553</v>
      </c>
      <c r="I268" s="28" t="n">
        <v>1.207</v>
      </c>
      <c r="J268" s="27" t="n">
        <f aca="false">ROUND(G268*I268,2)</f>
        <v>16.88</v>
      </c>
      <c r="K268" s="27" t="n">
        <f aca="false">J268*F268</f>
        <v>489.52</v>
      </c>
      <c r="L268" s="29"/>
      <c r="M268" s="29"/>
      <c r="N268" s="29"/>
      <c r="O268" s="29"/>
      <c r="P268" s="29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</row>
    <row r="269" customFormat="false" ht="17.5" hidden="false" customHeight="false" outlineLevel="0" collapsed="false">
      <c r="A269" s="23" t="s">
        <v>439</v>
      </c>
      <c r="B269" s="24" t="s">
        <v>57</v>
      </c>
      <c r="C269" s="23" t="n">
        <v>100324</v>
      </c>
      <c r="D269" s="41" t="s">
        <v>262</v>
      </c>
      <c r="E269" s="23" t="s">
        <v>49</v>
      </c>
      <c r="F269" s="36" t="n">
        <f aca="false">'MEMORIAL DE CALCULO'!F449</f>
        <v>2.9</v>
      </c>
      <c r="G269" s="37" t="n">
        <v>164.88</v>
      </c>
      <c r="H269" s="27" t="n">
        <f aca="false">G269*F269</f>
        <v>478.152</v>
      </c>
      <c r="I269" s="28" t="n">
        <v>1.207</v>
      </c>
      <c r="J269" s="37" t="n">
        <f aca="false">ROUND(G269*I269,2)</f>
        <v>199.01</v>
      </c>
      <c r="K269" s="37" t="n">
        <f aca="false">J269*F269</f>
        <v>577.129</v>
      </c>
    </row>
    <row r="270" customFormat="false" ht="17.5" hidden="false" customHeight="false" outlineLevel="0" collapsed="false">
      <c r="A270" s="23" t="s">
        <v>440</v>
      </c>
      <c r="B270" s="24" t="s">
        <v>57</v>
      </c>
      <c r="C270" s="23" t="n">
        <v>101749</v>
      </c>
      <c r="D270" s="41" t="s">
        <v>264</v>
      </c>
      <c r="E270" s="23" t="s">
        <v>19</v>
      </c>
      <c r="F270" s="36" t="n">
        <f aca="false">'MEMORIAL DE CALCULO'!F450</f>
        <v>29</v>
      </c>
      <c r="G270" s="37" t="n">
        <v>53.82</v>
      </c>
      <c r="H270" s="27" t="n">
        <f aca="false">G270*F270</f>
        <v>1560.78</v>
      </c>
      <c r="I270" s="28" t="n">
        <v>1.207</v>
      </c>
      <c r="J270" s="37" t="n">
        <f aca="false">ROUND(G270*I270,2)</f>
        <v>64.96</v>
      </c>
      <c r="K270" s="37" t="n">
        <f aca="false">J270*F270</f>
        <v>1883.84</v>
      </c>
    </row>
    <row r="271" customFormat="false" ht="17.5" hidden="false" customHeight="false" outlineLevel="0" collapsed="false">
      <c r="A271" s="23" t="s">
        <v>441</v>
      </c>
      <c r="B271" s="24" t="s">
        <v>57</v>
      </c>
      <c r="C271" s="23" t="n">
        <v>94990</v>
      </c>
      <c r="D271" s="41" t="s">
        <v>266</v>
      </c>
      <c r="E271" s="23" t="s">
        <v>49</v>
      </c>
      <c r="F271" s="36" t="n">
        <f aca="false">'MEMORIAL DE CALCULO'!F451</f>
        <v>4.35</v>
      </c>
      <c r="G271" s="37" t="n">
        <v>741.92</v>
      </c>
      <c r="H271" s="27" t="n">
        <f aca="false">G271*F271</f>
        <v>3227.352</v>
      </c>
      <c r="I271" s="28" t="n">
        <v>1.207</v>
      </c>
      <c r="J271" s="37" t="n">
        <f aca="false">ROUND(G271*I271,2)</f>
        <v>895.5</v>
      </c>
      <c r="K271" s="37" t="n">
        <f aca="false">J271*F271</f>
        <v>3895.425</v>
      </c>
    </row>
    <row r="272" customFormat="false" ht="17.5" hidden="false" customHeight="false" outlineLevel="0" collapsed="false">
      <c r="A272" s="23" t="s">
        <v>442</v>
      </c>
      <c r="B272" s="31" t="s">
        <v>26</v>
      </c>
      <c r="C272" s="23" t="s">
        <v>443</v>
      </c>
      <c r="D272" s="41" t="s">
        <v>444</v>
      </c>
      <c r="E272" s="23" t="s">
        <v>19</v>
      </c>
      <c r="F272" s="36" t="n">
        <f aca="false">'MEMORIAL DE CALCULO'!F452</f>
        <v>35</v>
      </c>
      <c r="G272" s="37" t="n">
        <v>385.4</v>
      </c>
      <c r="H272" s="27" t="n">
        <f aca="false">G272*F272</f>
        <v>13489</v>
      </c>
      <c r="I272" s="28" t="n">
        <v>1.207</v>
      </c>
      <c r="J272" s="37" t="n">
        <f aca="false">ROUND(G272*I272,2)</f>
        <v>465.18</v>
      </c>
      <c r="K272" s="37" t="n">
        <f aca="false">J272*F272</f>
        <v>16281.3</v>
      </c>
    </row>
    <row r="273" customFormat="false" ht="21.6" hidden="false" customHeight="false" outlineLevel="0" collapsed="false">
      <c r="A273" s="23" t="s">
        <v>445</v>
      </c>
      <c r="B273" s="24" t="s">
        <v>57</v>
      </c>
      <c r="C273" s="23" t="n">
        <v>92415</v>
      </c>
      <c r="D273" s="25" t="s">
        <v>118</v>
      </c>
      <c r="E273" s="23" t="s">
        <v>19</v>
      </c>
      <c r="F273" s="26" t="n">
        <f aca="false">'MEMORIAL DE CALCULO'!F453</f>
        <v>4.5</v>
      </c>
      <c r="G273" s="27" t="n">
        <v>143.7</v>
      </c>
      <c r="H273" s="27" t="n">
        <f aca="false">G273*F273</f>
        <v>646.65</v>
      </c>
      <c r="I273" s="28" t="n">
        <v>1.207</v>
      </c>
      <c r="J273" s="27" t="n">
        <f aca="false">ROUND(G273*I273,2)</f>
        <v>173.45</v>
      </c>
      <c r="K273" s="27" t="n">
        <f aca="false">J273*F273</f>
        <v>780.525</v>
      </c>
      <c r="L273" s="29"/>
      <c r="M273" s="29"/>
      <c r="N273" s="29"/>
      <c r="O273" s="29"/>
      <c r="P273" s="2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customFormat="false" ht="17.5" hidden="false" customHeight="false" outlineLevel="0" collapsed="false">
      <c r="A274" s="23" t="s">
        <v>446</v>
      </c>
      <c r="B274" s="24" t="s">
        <v>57</v>
      </c>
      <c r="C274" s="23" t="n">
        <v>92800</v>
      </c>
      <c r="D274" s="25" t="s">
        <v>102</v>
      </c>
      <c r="E274" s="23" t="s">
        <v>103</v>
      </c>
      <c r="F274" s="26" t="n">
        <f aca="false">'MEMORIAL DE CALCULO'!F458</f>
        <v>9.6096</v>
      </c>
      <c r="G274" s="27" t="n">
        <v>10.04</v>
      </c>
      <c r="H274" s="27" t="n">
        <f aca="false">G274*F274</f>
        <v>96.480384</v>
      </c>
      <c r="I274" s="28" t="n">
        <v>1.207</v>
      </c>
      <c r="J274" s="27" t="n">
        <f aca="false">ROUND(G274*I274,2)</f>
        <v>12.12</v>
      </c>
      <c r="K274" s="27" t="n">
        <f aca="false">J274*F274</f>
        <v>116.468352</v>
      </c>
      <c r="L274" s="29"/>
      <c r="M274" s="29"/>
      <c r="N274" s="29"/>
      <c r="O274" s="29"/>
      <c r="P274" s="29"/>
    </row>
    <row r="275" customFormat="false" ht="17.5" hidden="false" customHeight="false" outlineLevel="0" collapsed="false">
      <c r="A275" s="23" t="s">
        <v>447</v>
      </c>
      <c r="B275" s="24" t="s">
        <v>57</v>
      </c>
      <c r="C275" s="23" t="n">
        <v>92803</v>
      </c>
      <c r="D275" s="25" t="s">
        <v>105</v>
      </c>
      <c r="E275" s="23" t="s">
        <v>103</v>
      </c>
      <c r="F275" s="26" t="n">
        <f aca="false">'MEMORIAL DE CALCULO'!F463</f>
        <v>22.212</v>
      </c>
      <c r="G275" s="27" t="n">
        <v>8.88</v>
      </c>
      <c r="H275" s="27" t="n">
        <f aca="false">G275*F275</f>
        <v>197.24256</v>
      </c>
      <c r="I275" s="28" t="n">
        <v>1.207</v>
      </c>
      <c r="J275" s="27" t="n">
        <f aca="false">ROUND(G275*I275,2)</f>
        <v>10.72</v>
      </c>
      <c r="K275" s="27" t="n">
        <f aca="false">J275*F275</f>
        <v>238.11264</v>
      </c>
      <c r="L275" s="29"/>
      <c r="M275" s="29"/>
      <c r="N275" s="29"/>
      <c r="O275" s="29"/>
      <c r="P275" s="2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customFormat="false" ht="17.5" hidden="false" customHeight="false" outlineLevel="0" collapsed="false">
      <c r="A276" s="23" t="s">
        <v>448</v>
      </c>
      <c r="B276" s="24" t="s">
        <v>57</v>
      </c>
      <c r="C276" s="23" t="n">
        <v>103672</v>
      </c>
      <c r="D276" s="25" t="s">
        <v>122</v>
      </c>
      <c r="E276" s="23" t="s">
        <v>49</v>
      </c>
      <c r="F276" s="26" t="n">
        <f aca="false">'MEMORIAL DE CALCULO'!F467</f>
        <v>0.5625</v>
      </c>
      <c r="G276" s="27" t="n">
        <v>570.59</v>
      </c>
      <c r="H276" s="27" t="n">
        <f aca="false">G276*F276</f>
        <v>320.956875</v>
      </c>
      <c r="I276" s="28" t="n">
        <v>1.207</v>
      </c>
      <c r="J276" s="27" t="n">
        <f aca="false">ROUND(G276*I276,2)</f>
        <v>688.7</v>
      </c>
      <c r="K276" s="27" t="n">
        <f aca="false">J276*F276</f>
        <v>387.39375</v>
      </c>
      <c r="L276" s="29"/>
      <c r="M276" s="29"/>
      <c r="N276" s="29"/>
      <c r="O276" s="29"/>
      <c r="P276" s="29"/>
    </row>
    <row r="277" customFormat="false" ht="17.5" hidden="false" customHeight="false" outlineLevel="0" collapsed="false">
      <c r="A277" s="23" t="s">
        <v>449</v>
      </c>
      <c r="B277" s="30" t="s">
        <v>21</v>
      </c>
      <c r="C277" s="23" t="s">
        <v>450</v>
      </c>
      <c r="D277" s="41" t="s">
        <v>451</v>
      </c>
      <c r="E277" s="23" t="s">
        <v>19</v>
      </c>
      <c r="F277" s="36" t="n">
        <f aca="false">'MEMORIAL DE CALCULO'!F469</f>
        <v>5.149</v>
      </c>
      <c r="G277" s="37" t="n">
        <f aca="false">8014.55/1.23</f>
        <v>6515.89430894309</v>
      </c>
      <c r="H277" s="27" t="n">
        <f aca="false">G277*F277</f>
        <v>33550.339796748</v>
      </c>
      <c r="I277" s="28" t="n">
        <v>1.207</v>
      </c>
      <c r="J277" s="37" t="n">
        <f aca="false">ROUND(G277*I277,2)</f>
        <v>7864.68</v>
      </c>
      <c r="K277" s="37" t="n">
        <f aca="false">J277*F277</f>
        <v>40495.23732</v>
      </c>
    </row>
    <row r="278" customFormat="false" ht="17.5" hidden="false" customHeight="false" outlineLevel="0" collapsed="false">
      <c r="A278" s="66" t="s">
        <v>452</v>
      </c>
      <c r="B278" s="66"/>
      <c r="C278" s="66"/>
      <c r="D278" s="66"/>
      <c r="E278" s="66"/>
      <c r="F278" s="66"/>
      <c r="G278" s="66"/>
      <c r="H278" s="66"/>
      <c r="I278" s="66"/>
      <c r="J278" s="66"/>
      <c r="K278" s="65" t="n">
        <f aca="false">SUM(K279:K297)</f>
        <v>57518.202386</v>
      </c>
      <c r="L278" s="29"/>
      <c r="M278" s="29"/>
      <c r="N278" s="29"/>
      <c r="O278" s="29"/>
      <c r="P278" s="29"/>
    </row>
    <row r="279" customFormat="false" ht="17.5" hidden="false" customHeight="false" outlineLevel="0" collapsed="false">
      <c r="A279" s="23" t="s">
        <v>453</v>
      </c>
      <c r="B279" s="45" t="s">
        <v>21</v>
      </c>
      <c r="C279" s="23" t="s">
        <v>99</v>
      </c>
      <c r="D279" s="25" t="s">
        <v>100</v>
      </c>
      <c r="E279" s="23" t="s">
        <v>24</v>
      </c>
      <c r="F279" s="26" t="n">
        <f aca="false">'MEMORIAL DE CALCULO'!F475</f>
        <v>12</v>
      </c>
      <c r="G279" s="27" t="n">
        <f aca="false">78.5/1.23</f>
        <v>63.8211382113821</v>
      </c>
      <c r="H279" s="27" t="n">
        <f aca="false">G279*F279</f>
        <v>765.853658536585</v>
      </c>
      <c r="I279" s="28" t="n">
        <v>1.207</v>
      </c>
      <c r="J279" s="27" t="n">
        <f aca="false">ROUND(G279*I279,2)</f>
        <v>77.03</v>
      </c>
      <c r="K279" s="27" t="n">
        <f aca="false">J279*F279</f>
        <v>924.36</v>
      </c>
      <c r="L279" s="29"/>
      <c r="M279" s="29"/>
      <c r="N279" s="29"/>
      <c r="O279" s="29"/>
      <c r="P279" s="29"/>
    </row>
    <row r="280" customFormat="false" ht="17.5" hidden="false" customHeight="false" outlineLevel="0" collapsed="false">
      <c r="A280" s="23" t="s">
        <v>454</v>
      </c>
      <c r="B280" s="24" t="s">
        <v>57</v>
      </c>
      <c r="C280" s="23" t="n">
        <v>92800</v>
      </c>
      <c r="D280" s="25" t="s">
        <v>102</v>
      </c>
      <c r="E280" s="23" t="s">
        <v>103</v>
      </c>
      <c r="F280" s="26" t="n">
        <f aca="false">'MEMORIAL DE CALCULO'!F480</f>
        <v>12.8128</v>
      </c>
      <c r="G280" s="27" t="n">
        <v>10.04</v>
      </c>
      <c r="H280" s="27" t="n">
        <f aca="false">G280*F280</f>
        <v>128.640512</v>
      </c>
      <c r="I280" s="28" t="n">
        <v>1.207</v>
      </c>
      <c r="J280" s="27" t="n">
        <f aca="false">ROUND(G280*I280,2)</f>
        <v>12.12</v>
      </c>
      <c r="K280" s="27" t="n">
        <f aca="false">J280*F280</f>
        <v>155.291136</v>
      </c>
      <c r="L280" s="29"/>
      <c r="M280" s="29"/>
      <c r="N280" s="29"/>
      <c r="O280" s="29"/>
      <c r="P280" s="29"/>
    </row>
    <row r="281" customFormat="false" ht="17.5" hidden="false" customHeight="false" outlineLevel="0" collapsed="false">
      <c r="A281" s="23" t="s">
        <v>455</v>
      </c>
      <c r="B281" s="24" t="s">
        <v>57</v>
      </c>
      <c r="C281" s="23" t="n">
        <v>92803</v>
      </c>
      <c r="D281" s="25" t="s">
        <v>105</v>
      </c>
      <c r="E281" s="23" t="s">
        <v>103</v>
      </c>
      <c r="F281" s="26" t="n">
        <f aca="false">'MEMORIAL DE CALCULO'!F486</f>
        <v>29.616</v>
      </c>
      <c r="G281" s="27" t="n">
        <v>8.88</v>
      </c>
      <c r="H281" s="27" t="n">
        <f aca="false">G281*F281</f>
        <v>262.99008</v>
      </c>
      <c r="I281" s="28" t="n">
        <v>1.207</v>
      </c>
      <c r="J281" s="27" t="n">
        <f aca="false">ROUND(G281*I281,2)</f>
        <v>10.72</v>
      </c>
      <c r="K281" s="27" t="n">
        <f aca="false">J281*F281</f>
        <v>317.48352</v>
      </c>
      <c r="L281" s="29"/>
      <c r="M281" s="29"/>
      <c r="N281" s="29"/>
      <c r="O281" s="29"/>
      <c r="P281" s="2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customFormat="false" ht="17.5" hidden="false" customHeight="false" outlineLevel="0" collapsed="false">
      <c r="A282" s="23" t="s">
        <v>456</v>
      </c>
      <c r="B282" s="24" t="s">
        <v>57</v>
      </c>
      <c r="C282" s="23" t="n">
        <v>96526</v>
      </c>
      <c r="D282" s="25" t="s">
        <v>107</v>
      </c>
      <c r="E282" s="23" t="s">
        <v>49</v>
      </c>
      <c r="F282" s="26" t="n">
        <f aca="false">'MEMORIAL DE CALCULO'!F490</f>
        <v>1.92</v>
      </c>
      <c r="G282" s="27" t="n">
        <v>266.21</v>
      </c>
      <c r="H282" s="27" t="n">
        <f aca="false">G282*F282</f>
        <v>511.1232</v>
      </c>
      <c r="I282" s="28" t="n">
        <v>1.207</v>
      </c>
      <c r="J282" s="27" t="n">
        <f aca="false">ROUND(G282*I282,2)</f>
        <v>321.32</v>
      </c>
      <c r="K282" s="27" t="n">
        <f aca="false">J282*F282</f>
        <v>616.9344</v>
      </c>
      <c r="L282" s="29"/>
      <c r="M282" s="29"/>
      <c r="N282" s="29"/>
      <c r="O282" s="29"/>
      <c r="P282" s="29"/>
    </row>
    <row r="283" customFormat="false" ht="17.5" hidden="false" customHeight="false" outlineLevel="0" collapsed="false">
      <c r="A283" s="23" t="s">
        <v>457</v>
      </c>
      <c r="B283" s="24" t="s">
        <v>57</v>
      </c>
      <c r="C283" s="23" t="n">
        <v>101619</v>
      </c>
      <c r="D283" s="25" t="s">
        <v>109</v>
      </c>
      <c r="E283" s="23" t="s">
        <v>49</v>
      </c>
      <c r="F283" s="26" t="n">
        <f aca="false">'MEMORIAL DE CALCULO'!F494</f>
        <v>0.48</v>
      </c>
      <c r="G283" s="27" t="n">
        <v>297.55</v>
      </c>
      <c r="H283" s="27" t="n">
        <f aca="false">G283*F283</f>
        <v>142.824</v>
      </c>
      <c r="I283" s="28" t="n">
        <v>1.207</v>
      </c>
      <c r="J283" s="27" t="n">
        <f aca="false">ROUND(G283*I283,2)</f>
        <v>359.14</v>
      </c>
      <c r="K283" s="27" t="n">
        <f aca="false">J283*F283</f>
        <v>172.3872</v>
      </c>
      <c r="L283" s="29"/>
      <c r="M283" s="29"/>
      <c r="N283" s="29"/>
      <c r="O283" s="29"/>
      <c r="P283" s="29"/>
    </row>
    <row r="284" customFormat="false" ht="17.5" hidden="false" customHeight="false" outlineLevel="0" collapsed="false">
      <c r="A284" s="23" t="s">
        <v>458</v>
      </c>
      <c r="B284" s="24" t="s">
        <v>57</v>
      </c>
      <c r="C284" s="23" t="n">
        <v>92800</v>
      </c>
      <c r="D284" s="25" t="s">
        <v>102</v>
      </c>
      <c r="E284" s="23" t="s">
        <v>103</v>
      </c>
      <c r="F284" s="26" t="n">
        <f aca="false">'MEMORIAL DE CALCULO'!F496</f>
        <v>23.6544</v>
      </c>
      <c r="G284" s="27" t="n">
        <v>10.04</v>
      </c>
      <c r="H284" s="27" t="n">
        <f aca="false">G284*F284</f>
        <v>237.490176</v>
      </c>
      <c r="I284" s="28" t="n">
        <v>1.207</v>
      </c>
      <c r="J284" s="27" t="n">
        <f aca="false">ROUND(G284*I284,2)</f>
        <v>12.12</v>
      </c>
      <c r="K284" s="27" t="n">
        <f aca="false">J284*F284</f>
        <v>286.691328</v>
      </c>
      <c r="L284" s="29"/>
      <c r="M284" s="29"/>
      <c r="N284" s="29"/>
      <c r="O284" s="29"/>
      <c r="P284" s="29"/>
    </row>
    <row r="285" customFormat="false" ht="17.5" hidden="false" customHeight="false" outlineLevel="0" collapsed="false">
      <c r="A285" s="23" t="s">
        <v>459</v>
      </c>
      <c r="B285" s="24" t="s">
        <v>57</v>
      </c>
      <c r="C285" s="23" t="n">
        <v>92803</v>
      </c>
      <c r="D285" s="25" t="s">
        <v>105</v>
      </c>
      <c r="E285" s="23" t="s">
        <v>103</v>
      </c>
      <c r="F285" s="26" t="n">
        <f aca="false">'MEMORIAL DE CALCULO'!F501</f>
        <v>39.488</v>
      </c>
      <c r="G285" s="27" t="n">
        <v>8.88</v>
      </c>
      <c r="H285" s="27" t="n">
        <f aca="false">G285*F285</f>
        <v>350.65344</v>
      </c>
      <c r="I285" s="28" t="n">
        <v>1.207</v>
      </c>
      <c r="J285" s="27" t="n">
        <f aca="false">ROUND(G285*I285,2)</f>
        <v>10.72</v>
      </c>
      <c r="K285" s="27" t="n">
        <f aca="false">J285*F285</f>
        <v>423.31136</v>
      </c>
      <c r="L285" s="29"/>
      <c r="M285" s="29"/>
      <c r="N285" s="29"/>
      <c r="O285" s="29"/>
      <c r="P285" s="2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customFormat="false" ht="17.5" hidden="false" customHeight="false" outlineLevel="0" collapsed="false">
      <c r="A286" s="23" t="s">
        <v>460</v>
      </c>
      <c r="B286" s="47" t="s">
        <v>57</v>
      </c>
      <c r="C286" s="48" t="n">
        <v>96557</v>
      </c>
      <c r="D286" s="49" t="s">
        <v>113</v>
      </c>
      <c r="E286" s="48" t="s">
        <v>49</v>
      </c>
      <c r="F286" s="50" t="n">
        <f aca="false">'MEMORIAL DE CALCULO'!F505</f>
        <v>1.92</v>
      </c>
      <c r="G286" s="51" t="n">
        <v>619.17</v>
      </c>
      <c r="H286" s="27" t="n">
        <f aca="false">G286*F286</f>
        <v>1188.8064</v>
      </c>
      <c r="I286" s="28" t="n">
        <v>1.207</v>
      </c>
      <c r="J286" s="51" t="n">
        <f aca="false">ROUND(G286*I286,2)</f>
        <v>747.34</v>
      </c>
      <c r="K286" s="51" t="n">
        <f aca="false">J286*F286</f>
        <v>1434.8928</v>
      </c>
      <c r="L286" s="52"/>
      <c r="M286" s="52"/>
      <c r="N286" s="52"/>
      <c r="O286" s="52"/>
      <c r="P286" s="52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</row>
    <row r="287" customFormat="false" ht="17.5" hidden="false" customHeight="false" outlineLevel="0" collapsed="false">
      <c r="A287" s="23" t="s">
        <v>461</v>
      </c>
      <c r="B287" s="24" t="s">
        <v>64</v>
      </c>
      <c r="C287" s="23" t="n">
        <v>97113</v>
      </c>
      <c r="D287" s="25" t="s">
        <v>65</v>
      </c>
      <c r="E287" s="23" t="s">
        <v>19</v>
      </c>
      <c r="F287" s="26" t="n">
        <f aca="false">'MEMORIAL DE CALCULO'!F506</f>
        <v>16.9</v>
      </c>
      <c r="G287" s="27" t="n">
        <v>1.62</v>
      </c>
      <c r="H287" s="27" t="n">
        <f aca="false">G287*F287</f>
        <v>27.378</v>
      </c>
      <c r="I287" s="28" t="n">
        <v>1.207</v>
      </c>
      <c r="J287" s="27" t="n">
        <f aca="false">ROUND(G287*I287,2)</f>
        <v>1.96</v>
      </c>
      <c r="K287" s="27" t="n">
        <f aca="false">J287*F287</f>
        <v>33.124</v>
      </c>
      <c r="L287" s="29"/>
      <c r="M287" s="42"/>
      <c r="N287" s="29"/>
      <c r="O287" s="29"/>
      <c r="P287" s="29"/>
    </row>
    <row r="288" customFormat="false" ht="17.5" hidden="false" customHeight="false" outlineLevel="0" collapsed="false">
      <c r="A288" s="23" t="s">
        <v>462</v>
      </c>
      <c r="B288" s="30" t="s">
        <v>21</v>
      </c>
      <c r="C288" s="23" t="s">
        <v>69</v>
      </c>
      <c r="D288" s="25" t="s">
        <v>70</v>
      </c>
      <c r="E288" s="23" t="s">
        <v>19</v>
      </c>
      <c r="F288" s="26" t="n">
        <f aca="false">'MEMORIAL DE CALCULO'!F507</f>
        <v>16.9</v>
      </c>
      <c r="G288" s="27" t="n">
        <f aca="false">17.2/1.23</f>
        <v>13.9837398373984</v>
      </c>
      <c r="H288" s="27" t="n">
        <f aca="false">G288*F288</f>
        <v>236.325203252032</v>
      </c>
      <c r="I288" s="28" t="n">
        <v>1.207</v>
      </c>
      <c r="J288" s="27" t="n">
        <f aca="false">ROUND(G288*I288,2)</f>
        <v>16.88</v>
      </c>
      <c r="K288" s="27" t="n">
        <f aca="false">J288*F288</f>
        <v>285.272</v>
      </c>
      <c r="L288" s="29"/>
      <c r="M288" s="29"/>
      <c r="N288" s="29"/>
      <c r="O288" s="29"/>
      <c r="P288" s="29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</row>
    <row r="289" customFormat="false" ht="17.5" hidden="false" customHeight="false" outlineLevel="0" collapsed="false">
      <c r="A289" s="23" t="s">
        <v>463</v>
      </c>
      <c r="B289" s="24" t="s">
        <v>57</v>
      </c>
      <c r="C289" s="23" t="n">
        <v>100324</v>
      </c>
      <c r="D289" s="41" t="s">
        <v>262</v>
      </c>
      <c r="E289" s="23" t="s">
        <v>49</v>
      </c>
      <c r="F289" s="36" t="n">
        <f aca="false">'MEMORIAL DE CALCULO'!F508</f>
        <v>1.69</v>
      </c>
      <c r="G289" s="37" t="n">
        <v>164.88</v>
      </c>
      <c r="H289" s="27" t="n">
        <f aca="false">G289*F289</f>
        <v>278.6472</v>
      </c>
      <c r="I289" s="28" t="n">
        <v>1.207</v>
      </c>
      <c r="J289" s="37" t="n">
        <f aca="false">ROUND(G289*I289,2)</f>
        <v>199.01</v>
      </c>
      <c r="K289" s="37" t="n">
        <f aca="false">J289*F289</f>
        <v>336.3269</v>
      </c>
    </row>
    <row r="290" customFormat="false" ht="17.5" hidden="false" customHeight="false" outlineLevel="0" collapsed="false">
      <c r="A290" s="23" t="s">
        <v>464</v>
      </c>
      <c r="B290" s="24" t="s">
        <v>57</v>
      </c>
      <c r="C290" s="23" t="n">
        <v>101749</v>
      </c>
      <c r="D290" s="41" t="s">
        <v>264</v>
      </c>
      <c r="E290" s="23" t="s">
        <v>19</v>
      </c>
      <c r="F290" s="36" t="n">
        <f aca="false">'MEMORIAL DE CALCULO'!F509</f>
        <v>16.9</v>
      </c>
      <c r="G290" s="37" t="n">
        <v>53.82</v>
      </c>
      <c r="H290" s="27" t="n">
        <f aca="false">G290*F290</f>
        <v>909.558</v>
      </c>
      <c r="I290" s="28" t="n">
        <v>1.207</v>
      </c>
      <c r="J290" s="37" t="n">
        <f aca="false">ROUND(G290*I290,2)</f>
        <v>64.96</v>
      </c>
      <c r="K290" s="37" t="n">
        <f aca="false">J290*F290</f>
        <v>1097.824</v>
      </c>
    </row>
    <row r="291" customFormat="false" ht="17.5" hidden="false" customHeight="false" outlineLevel="0" collapsed="false">
      <c r="A291" s="23" t="s">
        <v>465</v>
      </c>
      <c r="B291" s="24" t="s">
        <v>57</v>
      </c>
      <c r="C291" s="23" t="n">
        <v>94990</v>
      </c>
      <c r="D291" s="41" t="s">
        <v>266</v>
      </c>
      <c r="E291" s="23" t="s">
        <v>49</v>
      </c>
      <c r="F291" s="36" t="n">
        <f aca="false">'MEMORIAL DE CALCULO'!F510</f>
        <v>2.535</v>
      </c>
      <c r="G291" s="37" t="n">
        <v>741.92</v>
      </c>
      <c r="H291" s="27" t="n">
        <f aca="false">G291*F291</f>
        <v>1880.7672</v>
      </c>
      <c r="I291" s="28" t="n">
        <v>1.207</v>
      </c>
      <c r="J291" s="37" t="n">
        <f aca="false">ROUND(G291*I291,2)</f>
        <v>895.5</v>
      </c>
      <c r="K291" s="37" t="n">
        <f aca="false">J291*F291</f>
        <v>2270.0925</v>
      </c>
    </row>
    <row r="292" customFormat="false" ht="17.5" hidden="false" customHeight="false" outlineLevel="0" collapsed="false">
      <c r="A292" s="23" t="s">
        <v>466</v>
      </c>
      <c r="B292" s="31" t="s">
        <v>26</v>
      </c>
      <c r="C292" s="23" t="s">
        <v>443</v>
      </c>
      <c r="D292" s="41" t="s">
        <v>444</v>
      </c>
      <c r="E292" s="23" t="s">
        <v>19</v>
      </c>
      <c r="F292" s="36" t="n">
        <f aca="false">'MEMORIAL DE CALCULO'!F511</f>
        <v>35</v>
      </c>
      <c r="G292" s="37" t="n">
        <v>385.4</v>
      </c>
      <c r="H292" s="27" t="n">
        <f aca="false">G292*F292</f>
        <v>13489</v>
      </c>
      <c r="I292" s="28" t="n">
        <v>1.207</v>
      </c>
      <c r="J292" s="37" t="n">
        <f aca="false">ROUND(G292*I292,2)</f>
        <v>465.18</v>
      </c>
      <c r="K292" s="37" t="n">
        <f aca="false">J292*F292</f>
        <v>16281.3</v>
      </c>
    </row>
    <row r="293" customFormat="false" ht="21.6" hidden="false" customHeight="false" outlineLevel="0" collapsed="false">
      <c r="A293" s="23" t="s">
        <v>467</v>
      </c>
      <c r="B293" s="24" t="s">
        <v>57</v>
      </c>
      <c r="C293" s="23" t="n">
        <v>92415</v>
      </c>
      <c r="D293" s="25" t="s">
        <v>118</v>
      </c>
      <c r="E293" s="23" t="s">
        <v>19</v>
      </c>
      <c r="F293" s="26" t="n">
        <f aca="false">'MEMORIAL DE CALCULO'!F512</f>
        <v>4.5</v>
      </c>
      <c r="G293" s="27" t="n">
        <v>143.7</v>
      </c>
      <c r="H293" s="27" t="n">
        <f aca="false">G293*F293</f>
        <v>646.65</v>
      </c>
      <c r="I293" s="28" t="n">
        <v>1.207</v>
      </c>
      <c r="J293" s="27" t="n">
        <f aca="false">ROUND(G293*I293,2)</f>
        <v>173.45</v>
      </c>
      <c r="K293" s="27" t="n">
        <f aca="false">J293*F293</f>
        <v>780.525</v>
      </c>
      <c r="L293" s="29"/>
      <c r="M293" s="29"/>
      <c r="N293" s="29"/>
      <c r="O293" s="29"/>
      <c r="P293" s="2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customFormat="false" ht="17.5" hidden="false" customHeight="false" outlineLevel="0" collapsed="false">
      <c r="A294" s="23" t="s">
        <v>468</v>
      </c>
      <c r="B294" s="24" t="s">
        <v>57</v>
      </c>
      <c r="C294" s="23" t="n">
        <v>92800</v>
      </c>
      <c r="D294" s="25" t="s">
        <v>102</v>
      </c>
      <c r="E294" s="23" t="s">
        <v>103</v>
      </c>
      <c r="F294" s="26" t="n">
        <f aca="false">'MEMORIAL DE CALCULO'!F517</f>
        <v>9.6096</v>
      </c>
      <c r="G294" s="27" t="n">
        <v>10.04</v>
      </c>
      <c r="H294" s="27" t="n">
        <f aca="false">G294*F294</f>
        <v>96.480384</v>
      </c>
      <c r="I294" s="28" t="n">
        <v>1.207</v>
      </c>
      <c r="J294" s="27" t="n">
        <f aca="false">ROUND(G294*I294,2)</f>
        <v>12.12</v>
      </c>
      <c r="K294" s="27" t="n">
        <f aca="false">J294*F294</f>
        <v>116.468352</v>
      </c>
      <c r="L294" s="29"/>
      <c r="M294" s="29"/>
      <c r="N294" s="29"/>
      <c r="O294" s="29"/>
      <c r="P294" s="29"/>
    </row>
    <row r="295" customFormat="false" ht="17.5" hidden="false" customHeight="false" outlineLevel="0" collapsed="false">
      <c r="A295" s="23" t="s">
        <v>469</v>
      </c>
      <c r="B295" s="24" t="s">
        <v>57</v>
      </c>
      <c r="C295" s="23" t="n">
        <v>92803</v>
      </c>
      <c r="D295" s="25" t="s">
        <v>105</v>
      </c>
      <c r="E295" s="23" t="s">
        <v>103</v>
      </c>
      <c r="F295" s="26" t="n">
        <f aca="false">'MEMORIAL DE CALCULO'!F522</f>
        <v>22.212</v>
      </c>
      <c r="G295" s="27" t="n">
        <v>8.88</v>
      </c>
      <c r="H295" s="27" t="n">
        <f aca="false">G295*F295</f>
        <v>197.24256</v>
      </c>
      <c r="I295" s="28" t="n">
        <v>1.207</v>
      </c>
      <c r="J295" s="27" t="n">
        <f aca="false">ROUND(G295*I295,2)</f>
        <v>10.72</v>
      </c>
      <c r="K295" s="27" t="n">
        <f aca="false">J295*F295</f>
        <v>238.11264</v>
      </c>
      <c r="L295" s="29"/>
      <c r="M295" s="29"/>
      <c r="N295" s="29"/>
      <c r="O295" s="29"/>
      <c r="P295" s="2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customFormat="false" ht="17.5" hidden="false" customHeight="false" outlineLevel="0" collapsed="false">
      <c r="A296" s="23" t="s">
        <v>470</v>
      </c>
      <c r="B296" s="24" t="s">
        <v>57</v>
      </c>
      <c r="C296" s="23" t="n">
        <v>103672</v>
      </c>
      <c r="D296" s="25" t="s">
        <v>122</v>
      </c>
      <c r="E296" s="23" t="s">
        <v>49</v>
      </c>
      <c r="F296" s="26" t="n">
        <f aca="false">'MEMORIAL DE CALCULO'!F526</f>
        <v>0.5625</v>
      </c>
      <c r="G296" s="27" t="n">
        <v>570.59</v>
      </c>
      <c r="H296" s="27" t="n">
        <f aca="false">G296*F296</f>
        <v>320.956875</v>
      </c>
      <c r="I296" s="28" t="n">
        <v>1.207</v>
      </c>
      <c r="J296" s="27" t="n">
        <f aca="false">ROUND(G296*I296,2)</f>
        <v>688.7</v>
      </c>
      <c r="K296" s="27" t="n">
        <f aca="false">J296*F296</f>
        <v>387.39375</v>
      </c>
      <c r="L296" s="29"/>
      <c r="M296" s="29"/>
      <c r="N296" s="29"/>
      <c r="O296" s="29"/>
      <c r="P296" s="29"/>
    </row>
    <row r="297" customFormat="false" ht="17.5" hidden="false" customHeight="false" outlineLevel="0" collapsed="false">
      <c r="A297" s="23" t="s">
        <v>471</v>
      </c>
      <c r="B297" s="30" t="s">
        <v>21</v>
      </c>
      <c r="C297" s="23" t="s">
        <v>450</v>
      </c>
      <c r="D297" s="41" t="s">
        <v>451</v>
      </c>
      <c r="E297" s="23" t="s">
        <v>19</v>
      </c>
      <c r="F297" s="36" t="n">
        <f aca="false">'MEMORIAL DE CALCULO'!F532</f>
        <v>3.9875</v>
      </c>
      <c r="G297" s="37" t="n">
        <f aca="false">8014.55/1.23</f>
        <v>6515.89430894309</v>
      </c>
      <c r="H297" s="27" t="n">
        <f aca="false">G297*F297</f>
        <v>25982.1285569106</v>
      </c>
      <c r="I297" s="28" t="n">
        <v>1.207</v>
      </c>
      <c r="J297" s="37" t="n">
        <f aca="false">ROUND(G297*I297,2)</f>
        <v>7864.68</v>
      </c>
      <c r="K297" s="37" t="n">
        <f aca="false">J297*F297</f>
        <v>31360.4115</v>
      </c>
    </row>
    <row r="298" customFormat="false" ht="17.5" hidden="false" customHeight="false" outlineLevel="0" collapsed="false">
      <c r="A298" s="32"/>
      <c r="B298" s="32"/>
      <c r="C298" s="32"/>
      <c r="D298" s="32"/>
      <c r="E298" s="32"/>
      <c r="F298" s="32"/>
      <c r="G298" s="33" t="s">
        <v>472</v>
      </c>
      <c r="H298" s="33"/>
      <c r="I298" s="33"/>
      <c r="J298" s="33"/>
      <c r="K298" s="34" t="n">
        <f aca="false">SUM(K278+K258)</f>
        <v>127965.696632</v>
      </c>
      <c r="L298" s="29"/>
      <c r="M298" s="29"/>
      <c r="N298" s="29"/>
      <c r="O298" s="29"/>
      <c r="P298" s="29"/>
    </row>
    <row r="299" customFormat="false" ht="17.5" hidden="false" customHeight="false" outlineLevel="0" collapsed="false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29"/>
      <c r="M299" s="29"/>
      <c r="N299" s="29"/>
      <c r="O299" s="29"/>
      <c r="P299" s="29"/>
    </row>
    <row r="300" customFormat="false" ht="17.5" hidden="false" customHeight="false" outlineLevel="0" collapsed="false">
      <c r="A300" s="67" t="s">
        <v>473</v>
      </c>
      <c r="B300" s="68" t="s">
        <v>474</v>
      </c>
      <c r="C300" s="68"/>
      <c r="D300" s="69"/>
      <c r="E300" s="68"/>
      <c r="F300" s="70"/>
      <c r="G300" s="68"/>
      <c r="H300" s="68"/>
      <c r="I300" s="68"/>
      <c r="J300" s="68"/>
      <c r="K300" s="71"/>
    </row>
    <row r="301" customFormat="false" ht="17.5" hidden="false" customHeight="false" outlineLevel="0" collapsed="false">
      <c r="A301" s="23" t="s">
        <v>475</v>
      </c>
      <c r="B301" s="31" t="s">
        <v>26</v>
      </c>
      <c r="C301" s="23" t="s">
        <v>476</v>
      </c>
      <c r="D301" s="41" t="s">
        <v>477</v>
      </c>
      <c r="E301" s="23" t="s">
        <v>49</v>
      </c>
      <c r="F301" s="36" t="n">
        <f aca="false">'MEMORIAL DE CALCULO'!F534</f>
        <v>17.0805</v>
      </c>
      <c r="G301" s="37" t="n">
        <v>3173.3</v>
      </c>
      <c r="H301" s="37" t="n">
        <f aca="false">F301*G301</f>
        <v>54201.55065</v>
      </c>
      <c r="I301" s="38" t="n">
        <v>1.207</v>
      </c>
      <c r="J301" s="37" t="n">
        <f aca="false">ROUND(G301*I301,2)</f>
        <v>3830.17</v>
      </c>
      <c r="K301" s="37" t="n">
        <f aca="false">J301*F301</f>
        <v>65421.218685</v>
      </c>
    </row>
    <row r="302" customFormat="false" ht="17.5" hidden="false" customHeight="false" outlineLevel="0" collapsed="false">
      <c r="A302" s="23" t="s">
        <v>478</v>
      </c>
      <c r="B302" s="30" t="s">
        <v>21</v>
      </c>
      <c r="C302" s="23" t="s">
        <v>479</v>
      </c>
      <c r="D302" s="41" t="s">
        <v>480</v>
      </c>
      <c r="E302" s="23" t="s">
        <v>19</v>
      </c>
      <c r="F302" s="36" t="n">
        <f aca="false">'MEMORIAL DE CALCULO'!F538</f>
        <v>112.675</v>
      </c>
      <c r="G302" s="37" t="n">
        <v>14.75</v>
      </c>
      <c r="H302" s="37" t="n">
        <f aca="false">F302*G302</f>
        <v>1661.95625</v>
      </c>
      <c r="I302" s="38" t="n">
        <v>1.207</v>
      </c>
      <c r="J302" s="37" t="n">
        <f aca="false">ROUND(G302*I302,2)</f>
        <v>17.8</v>
      </c>
      <c r="K302" s="37" t="n">
        <f aca="false">J302*F302</f>
        <v>2005.615</v>
      </c>
    </row>
    <row r="303" customFormat="false" ht="17.5" hidden="false" customHeight="false" outlineLevel="0" collapsed="false">
      <c r="A303" s="23" t="s">
        <v>481</v>
      </c>
      <c r="B303" s="30" t="s">
        <v>21</v>
      </c>
      <c r="C303" s="23" t="s">
        <v>162</v>
      </c>
      <c r="D303" s="25" t="s">
        <v>163</v>
      </c>
      <c r="E303" s="23" t="s">
        <v>19</v>
      </c>
      <c r="F303" s="36" t="n">
        <f aca="false">'MEMORIAL DE CALCULO'!F542</f>
        <v>60.59</v>
      </c>
      <c r="G303" s="27" t="n">
        <v>13.85</v>
      </c>
      <c r="H303" s="37" t="n">
        <f aca="false">F303*G303</f>
        <v>839.1715</v>
      </c>
      <c r="I303" s="38" t="n">
        <v>1.207</v>
      </c>
      <c r="J303" s="37" t="n">
        <f aca="false">ROUND(G303*I303,2)</f>
        <v>16.72</v>
      </c>
      <c r="K303" s="37" t="n">
        <f aca="false">J303*F303</f>
        <v>1013.0648</v>
      </c>
    </row>
    <row r="304" customFormat="false" ht="17.5" hidden="false" customHeight="false" outlineLevel="0" collapsed="false">
      <c r="A304" s="23" t="s">
        <v>482</v>
      </c>
      <c r="B304" s="24" t="s">
        <v>57</v>
      </c>
      <c r="C304" s="23" t="n">
        <v>88489</v>
      </c>
      <c r="D304" s="25" t="s">
        <v>172</v>
      </c>
      <c r="E304" s="23" t="s">
        <v>19</v>
      </c>
      <c r="F304" s="36" t="n">
        <f aca="false">'MEMORIAL DE CALCULO'!F543</f>
        <v>60.59</v>
      </c>
      <c r="G304" s="27" t="n">
        <v>14.4</v>
      </c>
      <c r="H304" s="37" t="n">
        <f aca="false">F304*G304</f>
        <v>872.496</v>
      </c>
      <c r="I304" s="38" t="n">
        <v>1.207</v>
      </c>
      <c r="J304" s="37" t="n">
        <f aca="false">ROUND(G304*I304,2)</f>
        <v>17.38</v>
      </c>
      <c r="K304" s="37" t="n">
        <f aca="false">J304*F304</f>
        <v>1053.0542</v>
      </c>
    </row>
    <row r="305" customFormat="false" ht="17.5" hidden="false" customHeight="false" outlineLevel="0" collapsed="false">
      <c r="A305" s="23" t="s">
        <v>483</v>
      </c>
      <c r="B305" s="24" t="s">
        <v>57</v>
      </c>
      <c r="C305" s="23" t="n">
        <v>101749</v>
      </c>
      <c r="D305" s="41" t="s">
        <v>264</v>
      </c>
      <c r="E305" s="23" t="s">
        <v>19</v>
      </c>
      <c r="F305" s="36" t="n">
        <f aca="false">'MEMORIAL DE CALCULO'!F544</f>
        <v>62.8</v>
      </c>
      <c r="G305" s="37" t="n">
        <v>53.82</v>
      </c>
      <c r="H305" s="37" t="n">
        <f aca="false">F305*G305</f>
        <v>3379.896</v>
      </c>
      <c r="I305" s="38" t="n">
        <v>1.207</v>
      </c>
      <c r="J305" s="37" t="n">
        <f aca="false">ROUND(G305*I305,2)</f>
        <v>64.96</v>
      </c>
      <c r="K305" s="37" t="n">
        <f aca="false">J305*F305</f>
        <v>4079.488</v>
      </c>
    </row>
    <row r="306" customFormat="false" ht="17.5" hidden="false" customHeight="false" outlineLevel="0" collapsed="false">
      <c r="A306" s="23" t="s">
        <v>484</v>
      </c>
      <c r="B306" s="30" t="s">
        <v>21</v>
      </c>
      <c r="C306" s="23" t="s">
        <v>485</v>
      </c>
      <c r="D306" s="41" t="s">
        <v>486</v>
      </c>
      <c r="E306" s="23" t="s">
        <v>19</v>
      </c>
      <c r="F306" s="36" t="n">
        <f aca="false">'MEMORIAL DE CALCULO'!F545</f>
        <v>391.74</v>
      </c>
      <c r="G306" s="37" t="n">
        <v>21.9</v>
      </c>
      <c r="H306" s="37" t="n">
        <f aca="false">F306*G306</f>
        <v>8579.106</v>
      </c>
      <c r="I306" s="38" t="n">
        <v>1.207</v>
      </c>
      <c r="J306" s="37" t="n">
        <f aca="false">ROUND(G306*I306,2)</f>
        <v>26.43</v>
      </c>
      <c r="K306" s="37" t="n">
        <f aca="false">J306*F306</f>
        <v>10353.6882</v>
      </c>
    </row>
    <row r="307" customFormat="false" ht="17.5" hidden="false" customHeight="false" outlineLevel="0" collapsed="false">
      <c r="A307" s="23" t="s">
        <v>487</v>
      </c>
      <c r="B307" s="24" t="s">
        <v>57</v>
      </c>
      <c r="C307" s="23" t="n">
        <v>101174</v>
      </c>
      <c r="D307" s="25" t="s">
        <v>488</v>
      </c>
      <c r="E307" s="23" t="s">
        <v>24</v>
      </c>
      <c r="F307" s="26" t="n">
        <f aca="false">'MEMORIAL DE CALCULO'!F546</f>
        <v>39</v>
      </c>
      <c r="G307" s="27" t="n">
        <v>93.5</v>
      </c>
      <c r="H307" s="37" t="n">
        <f aca="false">F307*G307</f>
        <v>3646.5</v>
      </c>
      <c r="I307" s="38" t="n">
        <v>1.207</v>
      </c>
      <c r="J307" s="37" t="n">
        <f aca="false">ROUND(G307*I307,2)</f>
        <v>112.85</v>
      </c>
      <c r="K307" s="37" t="n">
        <f aca="false">J307*F307</f>
        <v>4401.15</v>
      </c>
      <c r="L307" s="29"/>
      <c r="M307" s="29"/>
      <c r="N307" s="29"/>
      <c r="O307" s="29"/>
      <c r="P307" s="29"/>
    </row>
    <row r="308" customFormat="false" ht="17.5" hidden="false" customHeight="false" outlineLevel="0" collapsed="false">
      <c r="A308" s="23" t="s">
        <v>489</v>
      </c>
      <c r="B308" s="24" t="s">
        <v>57</v>
      </c>
      <c r="C308" s="23" t="n">
        <v>92800</v>
      </c>
      <c r="D308" s="25" t="s">
        <v>102</v>
      </c>
      <c r="E308" s="23" t="s">
        <v>103</v>
      </c>
      <c r="F308" s="26" t="n">
        <f aca="false">'MEMORIAL DE CALCULO'!F547</f>
        <v>41.64</v>
      </c>
      <c r="G308" s="27" t="n">
        <v>10.04</v>
      </c>
      <c r="H308" s="37" t="n">
        <f aca="false">F308*G308</f>
        <v>418.0656</v>
      </c>
      <c r="I308" s="38" t="n">
        <v>1.207</v>
      </c>
      <c r="J308" s="37" t="n">
        <f aca="false">ROUND(G308*I308,2)</f>
        <v>12.12</v>
      </c>
      <c r="K308" s="37" t="n">
        <f aca="false">J308*F308</f>
        <v>504.6768</v>
      </c>
      <c r="L308" s="29"/>
      <c r="M308" s="29"/>
      <c r="N308" s="29"/>
      <c r="O308" s="29"/>
      <c r="P308" s="29"/>
    </row>
    <row r="309" customFormat="false" ht="17.5" hidden="false" customHeight="false" outlineLevel="0" collapsed="false">
      <c r="A309" s="23" t="s">
        <v>490</v>
      </c>
      <c r="B309" s="24" t="s">
        <v>57</v>
      </c>
      <c r="C309" s="23" t="n">
        <v>96526</v>
      </c>
      <c r="D309" s="25" t="s">
        <v>107</v>
      </c>
      <c r="E309" s="23" t="s">
        <v>49</v>
      </c>
      <c r="F309" s="26" t="n">
        <f aca="false">'MEMORIAL DE CALCULO'!F552</f>
        <v>9.537</v>
      </c>
      <c r="G309" s="27" t="n">
        <v>266.21</v>
      </c>
      <c r="H309" s="37" t="n">
        <f aca="false">F309*G309</f>
        <v>2538.84477</v>
      </c>
      <c r="I309" s="38" t="n">
        <v>1.207</v>
      </c>
      <c r="J309" s="37" t="n">
        <f aca="false">ROUND(G309*I309,2)</f>
        <v>321.32</v>
      </c>
      <c r="K309" s="37" t="n">
        <f aca="false">J309*F309</f>
        <v>3064.42884</v>
      </c>
      <c r="L309" s="29"/>
      <c r="M309" s="29"/>
      <c r="N309" s="29"/>
      <c r="O309" s="29"/>
      <c r="P309" s="29"/>
    </row>
    <row r="310" customFormat="false" ht="17.5" hidden="false" customHeight="false" outlineLevel="0" collapsed="false">
      <c r="A310" s="23" t="s">
        <v>491</v>
      </c>
      <c r="B310" s="24" t="s">
        <v>57</v>
      </c>
      <c r="C310" s="23" t="n">
        <v>101619</v>
      </c>
      <c r="D310" s="25" t="s">
        <v>109</v>
      </c>
      <c r="E310" s="23" t="s">
        <v>49</v>
      </c>
      <c r="F310" s="26" t="n">
        <f aca="false">'MEMORIAL DE CALCULO'!F553</f>
        <v>3.179</v>
      </c>
      <c r="G310" s="27" t="n">
        <v>297.55</v>
      </c>
      <c r="H310" s="37" t="n">
        <f aca="false">F310*G310</f>
        <v>945.91145</v>
      </c>
      <c r="I310" s="38" t="n">
        <v>1.207</v>
      </c>
      <c r="J310" s="37" t="n">
        <f aca="false">ROUND(G310*I310,2)</f>
        <v>359.14</v>
      </c>
      <c r="K310" s="37" t="n">
        <f aca="false">J310*F310</f>
        <v>1141.70606</v>
      </c>
      <c r="L310" s="29"/>
      <c r="M310" s="29"/>
      <c r="N310" s="29"/>
      <c r="O310" s="29"/>
      <c r="P310" s="29"/>
    </row>
    <row r="311" customFormat="false" ht="17.5" hidden="false" customHeight="false" outlineLevel="0" collapsed="false">
      <c r="A311" s="23" t="s">
        <v>492</v>
      </c>
      <c r="B311" s="24" t="s">
        <v>57</v>
      </c>
      <c r="C311" s="23" t="n">
        <v>92800</v>
      </c>
      <c r="D311" s="25" t="s">
        <v>102</v>
      </c>
      <c r="E311" s="23" t="s">
        <v>103</v>
      </c>
      <c r="F311" s="26" t="n">
        <f aca="false">'MEMORIAL DE CALCULO'!F554</f>
        <v>85.37</v>
      </c>
      <c r="G311" s="27" t="n">
        <v>10.04</v>
      </c>
      <c r="H311" s="37" t="n">
        <f aca="false">F311*G311</f>
        <v>857.1148</v>
      </c>
      <c r="I311" s="38" t="n">
        <v>1.207</v>
      </c>
      <c r="J311" s="37" t="n">
        <f aca="false">ROUND(G311*I311,2)</f>
        <v>12.12</v>
      </c>
      <c r="K311" s="37" t="n">
        <f aca="false">J311*F311</f>
        <v>1034.6844</v>
      </c>
      <c r="L311" s="29"/>
      <c r="M311" s="29"/>
      <c r="N311" s="29"/>
      <c r="O311" s="29"/>
      <c r="P311" s="29"/>
    </row>
    <row r="312" customFormat="false" ht="17.5" hidden="false" customHeight="false" outlineLevel="0" collapsed="false">
      <c r="A312" s="23" t="s">
        <v>493</v>
      </c>
      <c r="B312" s="24" t="s">
        <v>57</v>
      </c>
      <c r="C312" s="23" t="n">
        <v>92803</v>
      </c>
      <c r="D312" s="25" t="s">
        <v>105</v>
      </c>
      <c r="E312" s="23" t="s">
        <v>103</v>
      </c>
      <c r="F312" s="26" t="n">
        <f aca="false">'MEMORIAL DE CALCULO'!F559</f>
        <v>194.1</v>
      </c>
      <c r="G312" s="27" t="n">
        <v>8.88</v>
      </c>
      <c r="H312" s="37" t="n">
        <f aca="false">F312*G312</f>
        <v>1723.608</v>
      </c>
      <c r="I312" s="38" t="n">
        <v>1.207</v>
      </c>
      <c r="J312" s="37" t="n">
        <f aca="false">ROUND(G312*I312,2)</f>
        <v>10.72</v>
      </c>
      <c r="K312" s="37" t="n">
        <f aca="false">J312*F312</f>
        <v>2080.752</v>
      </c>
      <c r="L312" s="29"/>
      <c r="M312" s="29"/>
      <c r="N312" s="29"/>
      <c r="O312" s="29"/>
      <c r="P312" s="2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customFormat="false" ht="17.5" hidden="false" customHeight="false" outlineLevel="0" collapsed="false">
      <c r="A313" s="23" t="s">
        <v>494</v>
      </c>
      <c r="B313" s="24" t="s">
        <v>57</v>
      </c>
      <c r="C313" s="23" t="n">
        <v>96557</v>
      </c>
      <c r="D313" s="25" t="s">
        <v>113</v>
      </c>
      <c r="E313" s="23" t="s">
        <v>49</v>
      </c>
      <c r="F313" s="26" t="n">
        <f aca="false">'MEMORIAL DE CALCULO'!F563</f>
        <v>9.537</v>
      </c>
      <c r="G313" s="27" t="n">
        <v>619.17</v>
      </c>
      <c r="H313" s="37" t="n">
        <f aca="false">F313*G313</f>
        <v>5905.02429</v>
      </c>
      <c r="I313" s="38" t="n">
        <v>1.207</v>
      </c>
      <c r="J313" s="37" t="n">
        <f aca="false">ROUND(G313*I313,2)</f>
        <v>747.34</v>
      </c>
      <c r="K313" s="37" t="n">
        <f aca="false">J313*F313</f>
        <v>7127.38158</v>
      </c>
      <c r="L313" s="29"/>
      <c r="M313" s="29"/>
      <c r="N313" s="29"/>
      <c r="O313" s="29"/>
      <c r="P313" s="2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customFormat="false" ht="17.5" hidden="false" customHeight="false" outlineLevel="0" collapsed="false">
      <c r="A314" s="32"/>
      <c r="B314" s="32"/>
      <c r="C314" s="32"/>
      <c r="D314" s="32"/>
      <c r="E314" s="32"/>
      <c r="F314" s="32"/>
      <c r="G314" s="33" t="s">
        <v>495</v>
      </c>
      <c r="H314" s="33"/>
      <c r="I314" s="33"/>
      <c r="J314" s="33"/>
      <c r="K314" s="34" t="n">
        <f aca="false">SUM(K301:K313)</f>
        <v>103280.908565</v>
      </c>
      <c r="L314" s="29"/>
      <c r="M314" s="29"/>
      <c r="N314" s="29"/>
      <c r="O314" s="29"/>
      <c r="P314" s="29"/>
    </row>
    <row r="315" customFormat="false" ht="17.5" hidden="false" customHeight="false" outlineLevel="0" collapsed="false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29"/>
      <c r="M315" s="29"/>
      <c r="N315" s="29"/>
      <c r="O315" s="29"/>
      <c r="P315" s="29"/>
    </row>
    <row r="316" customFormat="false" ht="17.5" hidden="false" customHeight="false" outlineLevel="0" collapsed="false">
      <c r="A316" s="20" t="s">
        <v>496</v>
      </c>
      <c r="B316" s="21" t="s">
        <v>497</v>
      </c>
      <c r="C316" s="21"/>
      <c r="D316" s="21"/>
      <c r="E316" s="21"/>
      <c r="F316" s="21"/>
      <c r="G316" s="21"/>
      <c r="H316" s="21"/>
      <c r="I316" s="21"/>
      <c r="J316" s="21"/>
      <c r="K316" s="22"/>
    </row>
    <row r="317" customFormat="false" ht="17.5" hidden="false" customHeight="false" outlineLevel="0" collapsed="false">
      <c r="A317" s="66" t="s">
        <v>498</v>
      </c>
      <c r="B317" s="66"/>
      <c r="C317" s="66"/>
      <c r="D317" s="66"/>
      <c r="E317" s="66"/>
      <c r="F317" s="66"/>
      <c r="G317" s="66"/>
      <c r="H317" s="66"/>
      <c r="I317" s="66"/>
      <c r="J317" s="66"/>
      <c r="K317" s="65" t="n">
        <f aca="false">SUM(K318:K325)</f>
        <v>17505.02541</v>
      </c>
      <c r="L317" s="29"/>
      <c r="M317" s="29"/>
      <c r="N317" s="29"/>
      <c r="O317" s="29"/>
      <c r="P317" s="29"/>
    </row>
    <row r="318" customFormat="false" ht="17.5" hidden="false" customHeight="false" outlineLevel="0" collapsed="false">
      <c r="A318" s="23" t="s">
        <v>499</v>
      </c>
      <c r="B318" s="45" t="s">
        <v>21</v>
      </c>
      <c r="C318" s="23" t="s">
        <v>500</v>
      </c>
      <c r="D318" s="25" t="s">
        <v>501</v>
      </c>
      <c r="E318" s="23" t="s">
        <v>49</v>
      </c>
      <c r="F318" s="26" t="n">
        <f aca="false">'MEMORIAL DE CALCULO'!F565</f>
        <v>3.361</v>
      </c>
      <c r="G318" s="27" t="n">
        <f aca="false">118.71/1.195</f>
        <v>99.3389121338912</v>
      </c>
      <c r="H318" s="27" t="n">
        <f aca="false">G318*F318</f>
        <v>333.878083682008</v>
      </c>
      <c r="I318" s="28" t="n">
        <v>1.207</v>
      </c>
      <c r="J318" s="27" t="n">
        <f aca="false">ROUND(G318*I318,2)</f>
        <v>119.9</v>
      </c>
      <c r="K318" s="27" t="n">
        <f aca="false">J318*F318</f>
        <v>402.9839</v>
      </c>
      <c r="L318" s="29"/>
      <c r="M318" s="29"/>
      <c r="N318" s="29"/>
      <c r="O318" s="29"/>
      <c r="P318" s="29"/>
    </row>
    <row r="319" customFormat="false" ht="17.5" hidden="false" customHeight="false" outlineLevel="0" collapsed="false">
      <c r="A319" s="23" t="s">
        <v>502</v>
      </c>
      <c r="B319" s="30" t="s">
        <v>21</v>
      </c>
      <c r="C319" s="23" t="s">
        <v>254</v>
      </c>
      <c r="D319" s="25" t="s">
        <v>255</v>
      </c>
      <c r="E319" s="23" t="s">
        <v>49</v>
      </c>
      <c r="F319" s="26" t="n">
        <f aca="false">'MEMORIAL DE CALCULO'!F566</f>
        <v>3.361</v>
      </c>
      <c r="G319" s="40" t="n">
        <f aca="false">116/1.23</f>
        <v>94.3089430894309</v>
      </c>
      <c r="H319" s="27" t="n">
        <f aca="false">G319*F319</f>
        <v>316.972357723577</v>
      </c>
      <c r="I319" s="28" t="n">
        <v>1.207</v>
      </c>
      <c r="J319" s="27" t="n">
        <f aca="false">ROUND(G319*I319,2)</f>
        <v>113.83</v>
      </c>
      <c r="K319" s="27" t="n">
        <f aca="false">J319*F319</f>
        <v>382.58263</v>
      </c>
    </row>
    <row r="320" customFormat="false" ht="21.6" hidden="false" customHeight="false" outlineLevel="0" collapsed="false">
      <c r="A320" s="23" t="s">
        <v>503</v>
      </c>
      <c r="B320" s="24" t="s">
        <v>57</v>
      </c>
      <c r="C320" s="23" t="n">
        <v>100982</v>
      </c>
      <c r="D320" s="41" t="s">
        <v>257</v>
      </c>
      <c r="E320" s="23" t="s">
        <v>49</v>
      </c>
      <c r="F320" s="36" t="n">
        <f aca="false">'MEMORIAL DE CALCULO'!F567</f>
        <v>3.361</v>
      </c>
      <c r="G320" s="37" t="n">
        <v>8.93</v>
      </c>
      <c r="H320" s="27" t="n">
        <f aca="false">G320*F320</f>
        <v>30.01373</v>
      </c>
      <c r="I320" s="28" t="n">
        <v>1.207</v>
      </c>
      <c r="J320" s="27" t="n">
        <f aca="false">ROUND(G320*I320,2)</f>
        <v>10.78</v>
      </c>
      <c r="K320" s="27" t="n">
        <f aca="false">J320*F320</f>
        <v>36.23158</v>
      </c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customFormat="false" ht="17.5" hidden="false" customHeight="false" outlineLevel="0" collapsed="false">
      <c r="A321" s="23" t="s">
        <v>504</v>
      </c>
      <c r="B321" s="24" t="s">
        <v>57</v>
      </c>
      <c r="C321" s="23" t="n">
        <v>95875</v>
      </c>
      <c r="D321" s="41" t="s">
        <v>259</v>
      </c>
      <c r="E321" s="23" t="s">
        <v>260</v>
      </c>
      <c r="F321" s="36" t="n">
        <f aca="false">'MEMORIAL DE CALCULO'!F568</f>
        <v>33.61</v>
      </c>
      <c r="G321" s="37" t="n">
        <v>2.43</v>
      </c>
      <c r="H321" s="27" t="n">
        <f aca="false">G321*F321</f>
        <v>81.6723</v>
      </c>
      <c r="I321" s="28" t="n">
        <v>1.207</v>
      </c>
      <c r="J321" s="27" t="n">
        <f aca="false">ROUND(G321*I321,2)</f>
        <v>2.93</v>
      </c>
      <c r="K321" s="27" t="n">
        <f aca="false">J321*F321</f>
        <v>98.4773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customFormat="false" ht="17.5" hidden="false" customHeight="false" outlineLevel="0" collapsed="false">
      <c r="A322" s="23" t="s">
        <v>505</v>
      </c>
      <c r="B322" s="45" t="s">
        <v>21</v>
      </c>
      <c r="C322" s="23" t="s">
        <v>506</v>
      </c>
      <c r="D322" s="25" t="s">
        <v>507</v>
      </c>
      <c r="E322" s="23" t="s">
        <v>24</v>
      </c>
      <c r="F322" s="26" t="n">
        <f aca="false">'MEMORIAL DE CALCULO'!F569</f>
        <v>33</v>
      </c>
      <c r="G322" s="27" t="n">
        <f aca="false">172.21/1.195</f>
        <v>144.108786610879</v>
      </c>
      <c r="H322" s="27" t="n">
        <f aca="false">G322*F322</f>
        <v>4755.589958159</v>
      </c>
      <c r="I322" s="28" t="n">
        <v>1.207</v>
      </c>
      <c r="J322" s="27" t="n">
        <f aca="false">ROUND(G322*I322,2)</f>
        <v>173.94</v>
      </c>
      <c r="K322" s="27" t="n">
        <f aca="false">J322*F322</f>
        <v>5740.02</v>
      </c>
      <c r="L322" s="29"/>
      <c r="M322" s="29"/>
      <c r="N322" s="29"/>
      <c r="O322" s="29"/>
      <c r="P322" s="29"/>
    </row>
    <row r="323" customFormat="false" ht="17.5" hidden="false" customHeight="false" outlineLevel="0" collapsed="false">
      <c r="A323" s="23" t="s">
        <v>508</v>
      </c>
      <c r="B323" s="45" t="s">
        <v>21</v>
      </c>
      <c r="C323" s="54" t="s">
        <v>509</v>
      </c>
      <c r="D323" s="25" t="s">
        <v>510</v>
      </c>
      <c r="E323" s="54" t="s">
        <v>39</v>
      </c>
      <c r="F323" s="26" t="n">
        <f aca="false">'MEMORIAL DE CALCULO'!F570</f>
        <v>1</v>
      </c>
      <c r="G323" s="27" t="n">
        <v>457.31</v>
      </c>
      <c r="H323" s="27" t="n">
        <f aca="false">G323*F323</f>
        <v>457.31</v>
      </c>
      <c r="I323" s="28" t="n">
        <v>1.207</v>
      </c>
      <c r="J323" s="27" t="n">
        <f aca="false">ROUND(G323*I323,2)</f>
        <v>551.97</v>
      </c>
      <c r="K323" s="27" t="n">
        <f aca="false">J323*F323</f>
        <v>551.97</v>
      </c>
      <c r="L323" s="60"/>
      <c r="M323" s="60"/>
      <c r="N323" s="60"/>
      <c r="O323" s="60"/>
      <c r="P323" s="60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</row>
    <row r="324" customFormat="false" ht="17.5" hidden="false" customHeight="false" outlineLevel="0" collapsed="false">
      <c r="A324" s="23" t="s">
        <v>511</v>
      </c>
      <c r="B324" s="45" t="s">
        <v>21</v>
      </c>
      <c r="C324" s="54" t="s">
        <v>512</v>
      </c>
      <c r="D324" s="25" t="s">
        <v>513</v>
      </c>
      <c r="E324" s="54" t="s">
        <v>514</v>
      </c>
      <c r="F324" s="26" t="n">
        <f aca="false">'MEMORIAL DE CALCULO'!F571</f>
        <v>33</v>
      </c>
      <c r="G324" s="27" t="n">
        <f aca="false">205.95/1.195</f>
        <v>172.34309623431</v>
      </c>
      <c r="H324" s="27" t="n">
        <f aca="false">G324*F324</f>
        <v>5687.32217573222</v>
      </c>
      <c r="I324" s="28" t="n">
        <v>1.207</v>
      </c>
      <c r="J324" s="27" t="n">
        <f aca="false">ROUND(G324*I324,2)</f>
        <v>208.02</v>
      </c>
      <c r="K324" s="27" t="n">
        <f aca="false">J324*F324</f>
        <v>6864.66</v>
      </c>
      <c r="L324" s="60"/>
      <c r="M324" s="60"/>
      <c r="N324" s="60"/>
      <c r="O324" s="60"/>
      <c r="P324" s="60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</row>
    <row r="325" customFormat="false" ht="17.5" hidden="false" customHeight="false" outlineLevel="0" collapsed="false">
      <c r="A325" s="23" t="s">
        <v>515</v>
      </c>
      <c r="B325" s="45" t="s">
        <v>21</v>
      </c>
      <c r="C325" s="54" t="s">
        <v>516</v>
      </c>
      <c r="D325" s="25" t="s">
        <v>517</v>
      </c>
      <c r="E325" s="54" t="s">
        <v>24</v>
      </c>
      <c r="F325" s="26" t="n">
        <f aca="false">'MEMORIAL DE CALCULO'!F572</f>
        <v>18</v>
      </c>
      <c r="G325" s="27" t="n">
        <v>157.79</v>
      </c>
      <c r="H325" s="27" t="n">
        <f aca="false">G325*F325</f>
        <v>2840.22</v>
      </c>
      <c r="I325" s="28" t="n">
        <v>1.207</v>
      </c>
      <c r="J325" s="27" t="n">
        <f aca="false">ROUND(G325*I325,2)</f>
        <v>190.45</v>
      </c>
      <c r="K325" s="27" t="n">
        <f aca="false">J325*F325</f>
        <v>3428.1</v>
      </c>
      <c r="L325" s="60"/>
      <c r="M325" s="60"/>
      <c r="N325" s="60"/>
      <c r="O325" s="60"/>
      <c r="P325" s="60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</row>
    <row r="326" customFormat="false" ht="17.5" hidden="false" customHeight="false" outlineLevel="0" collapsed="false">
      <c r="A326" s="66" t="s">
        <v>97</v>
      </c>
      <c r="B326" s="66"/>
      <c r="C326" s="66"/>
      <c r="D326" s="66"/>
      <c r="E326" s="66"/>
      <c r="F326" s="66"/>
      <c r="G326" s="66"/>
      <c r="H326" s="66"/>
      <c r="I326" s="66"/>
      <c r="J326" s="66"/>
      <c r="K326" s="65" t="n">
        <f aca="false">SUM(K327:K335)</f>
        <v>13725.6446688</v>
      </c>
      <c r="L326" s="29"/>
      <c r="M326" s="29"/>
      <c r="N326" s="29"/>
      <c r="O326" s="29"/>
      <c r="P326" s="29"/>
    </row>
    <row r="327" customFormat="false" ht="17.5" hidden="false" customHeight="false" outlineLevel="0" collapsed="false">
      <c r="A327" s="23" t="s">
        <v>518</v>
      </c>
      <c r="B327" s="45" t="s">
        <v>21</v>
      </c>
      <c r="C327" s="23" t="s">
        <v>99</v>
      </c>
      <c r="D327" s="25" t="s">
        <v>100</v>
      </c>
      <c r="E327" s="23" t="s">
        <v>24</v>
      </c>
      <c r="F327" s="26" t="n">
        <f aca="false">'MEMORIAL DE CALCULO'!F574</f>
        <v>51</v>
      </c>
      <c r="G327" s="27" t="n">
        <f aca="false">78.5/1.23</f>
        <v>63.8211382113821</v>
      </c>
      <c r="H327" s="27" t="n">
        <f aca="false">G327*F327</f>
        <v>3254.87804878049</v>
      </c>
      <c r="I327" s="28" t="n">
        <v>1.207</v>
      </c>
      <c r="J327" s="27" t="n">
        <f aca="false">ROUND(G327*I327,2)</f>
        <v>77.03</v>
      </c>
      <c r="K327" s="27" t="n">
        <f aca="false">J327*F327</f>
        <v>3928.53</v>
      </c>
      <c r="L327" s="29"/>
      <c r="M327" s="29"/>
      <c r="N327" s="29"/>
      <c r="O327" s="29"/>
      <c r="P327" s="29"/>
    </row>
    <row r="328" customFormat="false" ht="17.5" hidden="false" customHeight="false" outlineLevel="0" collapsed="false">
      <c r="A328" s="23" t="s">
        <v>519</v>
      </c>
      <c r="B328" s="24" t="s">
        <v>57</v>
      </c>
      <c r="C328" s="23" t="n">
        <v>92800</v>
      </c>
      <c r="D328" s="25" t="s">
        <v>102</v>
      </c>
      <c r="E328" s="23" t="s">
        <v>103</v>
      </c>
      <c r="F328" s="26" t="n">
        <f aca="false">'MEMORIAL DE CALCULO'!F579</f>
        <v>54.4544</v>
      </c>
      <c r="G328" s="27" t="n">
        <v>10.04</v>
      </c>
      <c r="H328" s="27" t="n">
        <f aca="false">G328*F328</f>
        <v>546.722176</v>
      </c>
      <c r="I328" s="28" t="n">
        <v>1.207</v>
      </c>
      <c r="J328" s="27" t="n">
        <f aca="false">ROUND(G328*I328,2)</f>
        <v>12.12</v>
      </c>
      <c r="K328" s="27" t="n">
        <f aca="false">J328*F328</f>
        <v>659.987328</v>
      </c>
      <c r="L328" s="29"/>
      <c r="M328" s="29"/>
      <c r="N328" s="29"/>
      <c r="O328" s="29"/>
      <c r="P328" s="29"/>
    </row>
    <row r="329" customFormat="false" ht="17.5" hidden="false" customHeight="false" outlineLevel="0" collapsed="false">
      <c r="A329" s="23" t="s">
        <v>520</v>
      </c>
      <c r="B329" s="24" t="s">
        <v>57</v>
      </c>
      <c r="C329" s="23" t="n">
        <v>92803</v>
      </c>
      <c r="D329" s="25" t="s">
        <v>105</v>
      </c>
      <c r="E329" s="23" t="s">
        <v>103</v>
      </c>
      <c r="F329" s="26" t="n">
        <f aca="false">'MEMORIAL DE CALCULO'!F585</f>
        <v>125.868</v>
      </c>
      <c r="G329" s="27" t="n">
        <v>8.88</v>
      </c>
      <c r="H329" s="27" t="n">
        <f aca="false">G329*F329</f>
        <v>1117.70784</v>
      </c>
      <c r="I329" s="28" t="n">
        <v>1.207</v>
      </c>
      <c r="J329" s="27" t="n">
        <f aca="false">ROUND(G329*I329,2)</f>
        <v>10.72</v>
      </c>
      <c r="K329" s="27" t="n">
        <f aca="false">J329*F329</f>
        <v>1349.30496</v>
      </c>
      <c r="L329" s="29"/>
      <c r="M329" s="29"/>
      <c r="N329" s="29"/>
      <c r="O329" s="29"/>
      <c r="P329" s="2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customFormat="false" ht="17.5" hidden="false" customHeight="false" outlineLevel="0" collapsed="false">
      <c r="A330" s="23" t="s">
        <v>521</v>
      </c>
      <c r="B330" s="24" t="s">
        <v>57</v>
      </c>
      <c r="C330" s="23" t="n">
        <v>96526</v>
      </c>
      <c r="D330" s="25" t="s">
        <v>107</v>
      </c>
      <c r="E330" s="23" t="s">
        <v>49</v>
      </c>
      <c r="F330" s="26" t="n">
        <f aca="false">'MEMORIAL DE CALCULO'!F589</f>
        <v>4.032</v>
      </c>
      <c r="G330" s="27" t="n">
        <v>266.21</v>
      </c>
      <c r="H330" s="27" t="n">
        <f aca="false">G330*F330</f>
        <v>1073.35872</v>
      </c>
      <c r="I330" s="28" t="n">
        <v>1.207</v>
      </c>
      <c r="J330" s="27" t="n">
        <f aca="false">ROUND(G330*I330,2)</f>
        <v>321.32</v>
      </c>
      <c r="K330" s="27" t="n">
        <f aca="false">J330*F330</f>
        <v>1295.56224</v>
      </c>
      <c r="L330" s="29"/>
      <c r="M330" s="29"/>
      <c r="N330" s="29"/>
      <c r="O330" s="29"/>
      <c r="P330" s="29"/>
    </row>
    <row r="331" customFormat="false" ht="17.5" hidden="false" customHeight="false" outlineLevel="0" collapsed="false">
      <c r="A331" s="23" t="s">
        <v>522</v>
      </c>
      <c r="B331" s="24" t="s">
        <v>57</v>
      </c>
      <c r="C331" s="23" t="n">
        <v>101619</v>
      </c>
      <c r="D331" s="25" t="s">
        <v>109</v>
      </c>
      <c r="E331" s="23" t="s">
        <v>49</v>
      </c>
      <c r="F331" s="26" t="n">
        <f aca="false">'MEMORIAL DE CALCULO'!F593</f>
        <v>1.008</v>
      </c>
      <c r="G331" s="27" t="n">
        <v>297.55</v>
      </c>
      <c r="H331" s="27" t="n">
        <f aca="false">G331*F331</f>
        <v>299.9304</v>
      </c>
      <c r="I331" s="28" t="n">
        <v>1.207</v>
      </c>
      <c r="J331" s="27" t="n">
        <f aca="false">ROUND(G331*I331,2)</f>
        <v>359.14</v>
      </c>
      <c r="K331" s="27" t="n">
        <f aca="false">J331*F331</f>
        <v>362.01312</v>
      </c>
      <c r="L331" s="29"/>
      <c r="M331" s="29"/>
      <c r="N331" s="29"/>
      <c r="O331" s="29"/>
      <c r="P331" s="29"/>
    </row>
    <row r="332" customFormat="false" ht="17.5" hidden="false" customHeight="false" outlineLevel="0" collapsed="false">
      <c r="A332" s="23" t="s">
        <v>523</v>
      </c>
      <c r="B332" s="24" t="s">
        <v>57</v>
      </c>
      <c r="C332" s="23" t="n">
        <v>92800</v>
      </c>
      <c r="D332" s="25" t="s">
        <v>102</v>
      </c>
      <c r="E332" s="23" t="s">
        <v>103</v>
      </c>
      <c r="F332" s="26" t="n">
        <f aca="false">'MEMORIAL DE CALCULO'!F595</f>
        <v>49.67424</v>
      </c>
      <c r="G332" s="27" t="n">
        <v>10.04</v>
      </c>
      <c r="H332" s="27" t="n">
        <f aca="false">G332*F332</f>
        <v>498.7293696</v>
      </c>
      <c r="I332" s="28" t="n">
        <v>1.207</v>
      </c>
      <c r="J332" s="27" t="n">
        <f aca="false">ROUND(G332*I332,2)</f>
        <v>12.12</v>
      </c>
      <c r="K332" s="27" t="n">
        <f aca="false">J332*F332</f>
        <v>602.0517888</v>
      </c>
      <c r="L332" s="29"/>
      <c r="M332" s="29"/>
      <c r="N332" s="29"/>
      <c r="O332" s="29"/>
      <c r="P332" s="29"/>
    </row>
    <row r="333" customFormat="false" ht="17.5" hidden="false" customHeight="false" outlineLevel="0" collapsed="false">
      <c r="A333" s="23" t="s">
        <v>524</v>
      </c>
      <c r="B333" s="24" t="s">
        <v>57</v>
      </c>
      <c r="C333" s="23" t="n">
        <v>92803</v>
      </c>
      <c r="D333" s="25" t="s">
        <v>105</v>
      </c>
      <c r="E333" s="23" t="s">
        <v>103</v>
      </c>
      <c r="F333" s="26" t="n">
        <f aca="false">'MEMORIAL DE CALCULO'!F600</f>
        <v>82.9248</v>
      </c>
      <c r="G333" s="27" t="n">
        <v>8.88</v>
      </c>
      <c r="H333" s="27" t="n">
        <f aca="false">G333*F333</f>
        <v>736.372224</v>
      </c>
      <c r="I333" s="28" t="n">
        <v>1.207</v>
      </c>
      <c r="J333" s="27" t="n">
        <f aca="false">ROUND(G333*I333,2)</f>
        <v>10.72</v>
      </c>
      <c r="K333" s="27" t="n">
        <f aca="false">J333*F333</f>
        <v>888.953856</v>
      </c>
      <c r="L333" s="29"/>
      <c r="M333" s="29"/>
      <c r="N333" s="29"/>
      <c r="O333" s="29"/>
      <c r="P333" s="2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customFormat="false" ht="17.5" hidden="false" customHeight="false" outlineLevel="0" collapsed="false">
      <c r="A334" s="23" t="s">
        <v>525</v>
      </c>
      <c r="B334" s="47" t="s">
        <v>57</v>
      </c>
      <c r="C334" s="48" t="n">
        <v>96557</v>
      </c>
      <c r="D334" s="49" t="s">
        <v>113</v>
      </c>
      <c r="E334" s="48" t="s">
        <v>49</v>
      </c>
      <c r="F334" s="50" t="n">
        <f aca="false">'MEMORIAL DE CALCULO'!F604</f>
        <v>4.032</v>
      </c>
      <c r="G334" s="51" t="n">
        <v>619.17</v>
      </c>
      <c r="H334" s="27" t="n">
        <f aca="false">G334*F334</f>
        <v>2496.49344</v>
      </c>
      <c r="I334" s="28" t="n">
        <v>1.207</v>
      </c>
      <c r="J334" s="27" t="n">
        <f aca="false">ROUND(G334*I334,2)</f>
        <v>747.34</v>
      </c>
      <c r="K334" s="51" t="n">
        <f aca="false">J334*F334</f>
        <v>3013.27488</v>
      </c>
      <c r="L334" s="52"/>
      <c r="M334" s="52"/>
      <c r="N334" s="52"/>
      <c r="O334" s="52"/>
      <c r="P334" s="52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</row>
    <row r="335" customFormat="false" ht="17.5" hidden="false" customHeight="false" outlineLevel="0" collapsed="false">
      <c r="A335" s="23" t="s">
        <v>526</v>
      </c>
      <c r="B335" s="24" t="s">
        <v>57</v>
      </c>
      <c r="C335" s="23" t="n">
        <v>101165</v>
      </c>
      <c r="D335" s="25" t="s">
        <v>115</v>
      </c>
      <c r="E335" s="23" t="s">
        <v>49</v>
      </c>
      <c r="F335" s="26" t="n">
        <f aca="false">'MEMORIAL DE CALCULO'!F605</f>
        <v>1.2768</v>
      </c>
      <c r="G335" s="27" t="n">
        <v>1055.07</v>
      </c>
      <c r="H335" s="27" t="n">
        <f aca="false">G335*F335</f>
        <v>1347.113376</v>
      </c>
      <c r="I335" s="28" t="n">
        <v>1.207</v>
      </c>
      <c r="J335" s="27" t="n">
        <f aca="false">ROUND(G335*I335,2)</f>
        <v>1273.47</v>
      </c>
      <c r="K335" s="27" t="n">
        <f aca="false">J335*F335</f>
        <v>1625.966496</v>
      </c>
      <c r="L335" s="29"/>
      <c r="M335" s="29"/>
      <c r="N335" s="29"/>
      <c r="O335" s="29"/>
      <c r="P335" s="29"/>
    </row>
    <row r="336" customFormat="false" ht="17.5" hidden="false" customHeight="false" outlineLevel="0" collapsed="false">
      <c r="A336" s="66" t="s">
        <v>116</v>
      </c>
      <c r="B336" s="66"/>
      <c r="C336" s="66"/>
      <c r="D336" s="66"/>
      <c r="E336" s="66"/>
      <c r="F336" s="66"/>
      <c r="G336" s="66"/>
      <c r="H336" s="66"/>
      <c r="I336" s="66"/>
      <c r="J336" s="66"/>
      <c r="K336" s="65" t="n">
        <f aca="false">SUM(K337:K353)</f>
        <v>29031.59264675</v>
      </c>
      <c r="L336" s="29"/>
      <c r="M336" s="29"/>
      <c r="N336" s="29"/>
      <c r="O336" s="29"/>
      <c r="P336" s="29"/>
    </row>
    <row r="337" customFormat="false" ht="21.6" hidden="false" customHeight="false" outlineLevel="0" collapsed="false">
      <c r="A337" s="23" t="s">
        <v>527</v>
      </c>
      <c r="B337" s="24" t="s">
        <v>57</v>
      </c>
      <c r="C337" s="23" t="n">
        <v>92415</v>
      </c>
      <c r="D337" s="25" t="s">
        <v>118</v>
      </c>
      <c r="E337" s="23" t="s">
        <v>19</v>
      </c>
      <c r="F337" s="26" t="n">
        <f aca="false">'MEMORIAL DE CALCULO'!F609</f>
        <v>14.25</v>
      </c>
      <c r="G337" s="27" t="n">
        <v>143.7</v>
      </c>
      <c r="H337" s="27" t="n">
        <f aca="false">G337*F337</f>
        <v>2047.725</v>
      </c>
      <c r="I337" s="28" t="n">
        <v>1.207</v>
      </c>
      <c r="J337" s="27" t="n">
        <f aca="false">ROUND(G337*I337,2)</f>
        <v>173.45</v>
      </c>
      <c r="K337" s="27" t="n">
        <f aca="false">J337*F337</f>
        <v>2471.6625</v>
      </c>
      <c r="L337" s="29"/>
      <c r="M337" s="29"/>
      <c r="N337" s="29"/>
      <c r="O337" s="29"/>
      <c r="P337" s="2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customFormat="false" ht="17.5" hidden="false" customHeight="false" outlineLevel="0" collapsed="false">
      <c r="A338" s="23" t="s">
        <v>528</v>
      </c>
      <c r="B338" s="24" t="s">
        <v>57</v>
      </c>
      <c r="C338" s="23" t="n">
        <v>92800</v>
      </c>
      <c r="D338" s="25" t="s">
        <v>102</v>
      </c>
      <c r="E338" s="23" t="s">
        <v>103</v>
      </c>
      <c r="F338" s="26" t="n">
        <f aca="false">'MEMORIAL DE CALCULO'!F615</f>
        <v>30.4304</v>
      </c>
      <c r="G338" s="27" t="n">
        <v>10.04</v>
      </c>
      <c r="H338" s="27" t="n">
        <f aca="false">G338*F338</f>
        <v>305.521216</v>
      </c>
      <c r="I338" s="28" t="n">
        <v>1.207</v>
      </c>
      <c r="J338" s="27" t="n">
        <f aca="false">ROUND(G338*I338,2)</f>
        <v>12.12</v>
      </c>
      <c r="K338" s="27" t="n">
        <f aca="false">J338*F338</f>
        <v>368.816448</v>
      </c>
      <c r="L338" s="29"/>
      <c r="M338" s="29"/>
      <c r="N338" s="29"/>
      <c r="O338" s="29"/>
      <c r="P338" s="29"/>
    </row>
    <row r="339" customFormat="false" ht="17.5" hidden="false" customHeight="false" outlineLevel="0" collapsed="false">
      <c r="A339" s="23" t="s">
        <v>529</v>
      </c>
      <c r="B339" s="24" t="s">
        <v>57</v>
      </c>
      <c r="C339" s="23" t="n">
        <v>92803</v>
      </c>
      <c r="D339" s="25" t="s">
        <v>105</v>
      </c>
      <c r="E339" s="23" t="s">
        <v>103</v>
      </c>
      <c r="F339" s="26" t="n">
        <f aca="false">'MEMORIAL DE CALCULO'!F620</f>
        <v>70.338</v>
      </c>
      <c r="G339" s="27" t="n">
        <v>8.88</v>
      </c>
      <c r="H339" s="27" t="n">
        <f aca="false">G339*F339</f>
        <v>624.60144</v>
      </c>
      <c r="I339" s="28" t="n">
        <v>1.207</v>
      </c>
      <c r="J339" s="27" t="n">
        <f aca="false">ROUND(G339*I339,2)</f>
        <v>10.72</v>
      </c>
      <c r="K339" s="27" t="n">
        <f aca="false">J339*F339</f>
        <v>754.02336</v>
      </c>
      <c r="L339" s="29"/>
      <c r="M339" s="29"/>
      <c r="N339" s="29"/>
      <c r="O339" s="29"/>
      <c r="P339" s="2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customFormat="false" ht="17.5" hidden="false" customHeight="false" outlineLevel="0" collapsed="false">
      <c r="A340" s="23" t="s">
        <v>530</v>
      </c>
      <c r="B340" s="24" t="s">
        <v>57</v>
      </c>
      <c r="C340" s="23" t="n">
        <v>103672</v>
      </c>
      <c r="D340" s="25" t="s">
        <v>122</v>
      </c>
      <c r="E340" s="23" t="s">
        <v>49</v>
      </c>
      <c r="F340" s="26" t="n">
        <f aca="false">'MEMORIAL DE CALCULO'!F624</f>
        <v>1.5</v>
      </c>
      <c r="G340" s="27" t="n">
        <v>570.59</v>
      </c>
      <c r="H340" s="27" t="n">
        <f aca="false">G340*F340</f>
        <v>855.885</v>
      </c>
      <c r="I340" s="28" t="n">
        <v>1.207</v>
      </c>
      <c r="J340" s="27" t="n">
        <f aca="false">ROUND(G340*I340,2)</f>
        <v>688.7</v>
      </c>
      <c r="K340" s="27" t="n">
        <f aca="false">J340*F340</f>
        <v>1033.05</v>
      </c>
      <c r="L340" s="29"/>
      <c r="M340" s="29"/>
      <c r="N340" s="29"/>
      <c r="O340" s="29"/>
      <c r="P340" s="29"/>
    </row>
    <row r="341" customFormat="false" ht="21.6" hidden="false" customHeight="false" outlineLevel="0" collapsed="false">
      <c r="A341" s="23" t="s">
        <v>531</v>
      </c>
      <c r="B341" s="24" t="s">
        <v>57</v>
      </c>
      <c r="C341" s="23" t="n">
        <v>103324</v>
      </c>
      <c r="D341" s="25" t="s">
        <v>124</v>
      </c>
      <c r="E341" s="23" t="s">
        <v>19</v>
      </c>
      <c r="F341" s="26" t="n">
        <f aca="false">'MEMORIAL DE CALCULO'!F626</f>
        <v>44.875</v>
      </c>
      <c r="G341" s="27" t="n">
        <v>83.93</v>
      </c>
      <c r="H341" s="27" t="n">
        <f aca="false">G341*F341</f>
        <v>3766.35875</v>
      </c>
      <c r="I341" s="28" t="n">
        <v>1.207</v>
      </c>
      <c r="J341" s="27" t="n">
        <f aca="false">ROUND(G341*I341,2)</f>
        <v>101.3</v>
      </c>
      <c r="K341" s="27" t="n">
        <f aca="false">J341*F341</f>
        <v>4545.8375</v>
      </c>
      <c r="L341" s="29"/>
      <c r="M341" s="29"/>
      <c r="N341" s="29"/>
      <c r="O341" s="29"/>
      <c r="P341" s="29"/>
    </row>
    <row r="342" customFormat="false" ht="17.5" hidden="false" customHeight="false" outlineLevel="0" collapsed="false">
      <c r="A342" s="23" t="s">
        <v>532</v>
      </c>
      <c r="B342" s="45" t="s">
        <v>21</v>
      </c>
      <c r="C342" s="54" t="s">
        <v>323</v>
      </c>
      <c r="D342" s="25" t="s">
        <v>324</v>
      </c>
      <c r="E342" s="23" t="s">
        <v>24</v>
      </c>
      <c r="F342" s="26" t="n">
        <f aca="false">'MEMORIAL DE CALCULO'!F632</f>
        <v>12.8</v>
      </c>
      <c r="G342" s="27" t="n">
        <f aca="false">45.73/1.23</f>
        <v>37.1788617886179</v>
      </c>
      <c r="H342" s="27" t="n">
        <f aca="false">G342*F342</f>
        <v>475.889430894309</v>
      </c>
      <c r="I342" s="28" t="n">
        <v>1.207</v>
      </c>
      <c r="J342" s="27" t="n">
        <f aca="false">ROUND(G342*I342,2)</f>
        <v>44.87</v>
      </c>
      <c r="K342" s="27" t="n">
        <f aca="false">J342*F342</f>
        <v>574.336</v>
      </c>
      <c r="L342" s="29"/>
      <c r="M342" s="29"/>
      <c r="N342" s="29"/>
      <c r="O342" s="29"/>
      <c r="P342" s="29"/>
    </row>
    <row r="343" customFormat="false" ht="21.6" hidden="false" customHeight="false" outlineLevel="0" collapsed="false">
      <c r="A343" s="23" t="s">
        <v>533</v>
      </c>
      <c r="B343" s="24" t="s">
        <v>57</v>
      </c>
      <c r="C343" s="23" t="n">
        <v>92451</v>
      </c>
      <c r="D343" s="25" t="s">
        <v>129</v>
      </c>
      <c r="E343" s="23" t="s">
        <v>19</v>
      </c>
      <c r="F343" s="26" t="n">
        <f aca="false">'MEMORIAL DE CALCULO'!F632</f>
        <v>12.8</v>
      </c>
      <c r="G343" s="27" t="n">
        <v>185.45</v>
      </c>
      <c r="H343" s="27" t="n">
        <f aca="false">G343*F343</f>
        <v>2373.76</v>
      </c>
      <c r="I343" s="28" t="n">
        <v>1.207</v>
      </c>
      <c r="J343" s="27" t="n">
        <f aca="false">ROUND(G343*I343,2)</f>
        <v>223.84</v>
      </c>
      <c r="K343" s="27" t="n">
        <f aca="false">J343*F343</f>
        <v>2865.152</v>
      </c>
      <c r="L343" s="29"/>
      <c r="M343" s="29"/>
      <c r="N343" s="29"/>
      <c r="O343" s="29"/>
      <c r="P343" s="29"/>
    </row>
    <row r="344" customFormat="false" ht="17.5" hidden="false" customHeight="false" outlineLevel="0" collapsed="false">
      <c r="A344" s="23" t="s">
        <v>534</v>
      </c>
      <c r="B344" s="24" t="s">
        <v>57</v>
      </c>
      <c r="C344" s="23" t="n">
        <v>92800</v>
      </c>
      <c r="D344" s="25" t="s">
        <v>102</v>
      </c>
      <c r="E344" s="23" t="s">
        <v>103</v>
      </c>
      <c r="F344" s="26" t="n">
        <f aca="false">'MEMORIAL DE CALCULO'!F636</f>
        <v>262.826666666667</v>
      </c>
      <c r="G344" s="27" t="n">
        <v>10.04</v>
      </c>
      <c r="H344" s="27" t="n">
        <f aca="false">G344*F344</f>
        <v>2638.77973333333</v>
      </c>
      <c r="I344" s="28" t="n">
        <v>1.207</v>
      </c>
      <c r="J344" s="27" t="n">
        <f aca="false">ROUND(G344*I344,2)</f>
        <v>12.12</v>
      </c>
      <c r="K344" s="27" t="n">
        <f aca="false">J344*F344</f>
        <v>3185.4592</v>
      </c>
      <c r="L344" s="29"/>
      <c r="M344" s="29"/>
      <c r="N344" s="29"/>
      <c r="O344" s="29"/>
      <c r="P344" s="29"/>
    </row>
    <row r="345" customFormat="false" ht="17.5" hidden="false" customHeight="false" outlineLevel="0" collapsed="false">
      <c r="A345" s="23" t="s">
        <v>535</v>
      </c>
      <c r="B345" s="24" t="s">
        <v>57</v>
      </c>
      <c r="C345" s="23" t="n">
        <v>92803</v>
      </c>
      <c r="D345" s="25" t="s">
        <v>105</v>
      </c>
      <c r="E345" s="23" t="s">
        <v>103</v>
      </c>
      <c r="F345" s="26" t="n">
        <f aca="false">'MEMORIAL DE CALCULO'!F643</f>
        <v>39.488</v>
      </c>
      <c r="G345" s="27" t="n">
        <v>8.88</v>
      </c>
      <c r="H345" s="27" t="n">
        <f aca="false">G345*F345</f>
        <v>350.65344</v>
      </c>
      <c r="I345" s="28" t="n">
        <v>1.207</v>
      </c>
      <c r="J345" s="27" t="n">
        <f aca="false">ROUND(G345*I345,2)</f>
        <v>10.72</v>
      </c>
      <c r="K345" s="27" t="n">
        <f aca="false">J345*F345</f>
        <v>423.31136</v>
      </c>
      <c r="L345" s="29"/>
      <c r="M345" s="29"/>
      <c r="N345" s="29"/>
      <c r="O345" s="29"/>
      <c r="P345" s="2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customFormat="false" ht="17.5" hidden="false" customHeight="false" outlineLevel="0" collapsed="false">
      <c r="A346" s="23" t="s">
        <v>536</v>
      </c>
      <c r="B346" s="24" t="s">
        <v>57</v>
      </c>
      <c r="C346" s="23" t="n">
        <v>92804</v>
      </c>
      <c r="D346" s="25" t="s">
        <v>133</v>
      </c>
      <c r="E346" s="23" t="s">
        <v>103</v>
      </c>
      <c r="F346" s="26" t="n">
        <f aca="false">'MEMORIAL DE CALCULO'!F647</f>
        <v>30.816</v>
      </c>
      <c r="G346" s="27" t="n">
        <v>7.59</v>
      </c>
      <c r="H346" s="27" t="n">
        <f aca="false">G346*F346</f>
        <v>233.89344</v>
      </c>
      <c r="I346" s="28" t="n">
        <v>1.207</v>
      </c>
      <c r="J346" s="27" t="n">
        <f aca="false">ROUND(G346*I346,2)</f>
        <v>9.16</v>
      </c>
      <c r="K346" s="27" t="n">
        <f aca="false">J346*F346</f>
        <v>282.27456</v>
      </c>
      <c r="L346" s="29"/>
      <c r="M346" s="29"/>
      <c r="N346" s="29"/>
      <c r="O346" s="29"/>
      <c r="P346" s="2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customFormat="false" ht="17.5" hidden="false" customHeight="false" outlineLevel="0" collapsed="false">
      <c r="A347" s="23" t="s">
        <v>537</v>
      </c>
      <c r="B347" s="24" t="s">
        <v>57</v>
      </c>
      <c r="C347" s="23" t="n">
        <v>103675</v>
      </c>
      <c r="D347" s="25" t="s">
        <v>135</v>
      </c>
      <c r="E347" s="23" t="s">
        <v>49</v>
      </c>
      <c r="F347" s="26" t="n">
        <f aca="false">'MEMORIAL DE CALCULO'!F651</f>
        <v>1.6</v>
      </c>
      <c r="G347" s="27" t="n">
        <v>569.93</v>
      </c>
      <c r="H347" s="27" t="n">
        <f aca="false">G347*F347</f>
        <v>911.888</v>
      </c>
      <c r="I347" s="28" t="n">
        <v>1.207</v>
      </c>
      <c r="J347" s="27" t="n">
        <f aca="false">ROUND(G347*I347,2)</f>
        <v>687.91</v>
      </c>
      <c r="K347" s="27" t="n">
        <f aca="false">J347*F347</f>
        <v>1100.656</v>
      </c>
      <c r="L347" s="29"/>
      <c r="M347" s="29"/>
      <c r="N347" s="29"/>
      <c r="O347" s="29"/>
      <c r="P347" s="29"/>
    </row>
    <row r="348" customFormat="false" ht="17.5" hidden="false" customHeight="false" outlineLevel="0" collapsed="false">
      <c r="A348" s="23" t="s">
        <v>538</v>
      </c>
      <c r="B348" s="55" t="s">
        <v>26</v>
      </c>
      <c r="C348" s="48" t="s">
        <v>137</v>
      </c>
      <c r="D348" s="49" t="s">
        <v>138</v>
      </c>
      <c r="E348" s="48" t="s">
        <v>19</v>
      </c>
      <c r="F348" s="50" t="n">
        <f aca="false">'MEMORIAL DE CALCULO'!F475</f>
        <v>12</v>
      </c>
      <c r="G348" s="51" t="n">
        <v>200.79</v>
      </c>
      <c r="H348" s="27" t="n">
        <f aca="false">G348*F348</f>
        <v>2409.48</v>
      </c>
      <c r="I348" s="28" t="n">
        <v>1.207</v>
      </c>
      <c r="J348" s="27" t="n">
        <f aca="false">ROUND(G348*I348,2)</f>
        <v>242.35</v>
      </c>
      <c r="K348" s="51" t="n">
        <f aca="false">J348*F348</f>
        <v>2908.2</v>
      </c>
      <c r="L348" s="52"/>
      <c r="M348" s="52"/>
      <c r="N348" s="52"/>
      <c r="O348" s="52"/>
      <c r="P348" s="52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</row>
    <row r="349" customFormat="false" ht="17.5" hidden="false" customHeight="false" outlineLevel="0" collapsed="false">
      <c r="A349" s="23" t="s">
        <v>539</v>
      </c>
      <c r="B349" s="24" t="s">
        <v>57</v>
      </c>
      <c r="C349" s="23" t="n">
        <v>87879</v>
      </c>
      <c r="D349" s="25" t="s">
        <v>157</v>
      </c>
      <c r="E349" s="23" t="s">
        <v>19</v>
      </c>
      <c r="F349" s="36" t="n">
        <f aca="false">'MEMORIAL DE CALCULO'!F656</f>
        <v>113.70546875</v>
      </c>
      <c r="G349" s="27" t="n">
        <v>4.76</v>
      </c>
      <c r="H349" s="27" t="n">
        <f aca="false">G349*F349</f>
        <v>541.23803125</v>
      </c>
      <c r="I349" s="28" t="n">
        <v>1.207</v>
      </c>
      <c r="J349" s="27" t="n">
        <f aca="false">ROUND(G349*I349,2)</f>
        <v>5.75</v>
      </c>
      <c r="K349" s="37" t="n">
        <f aca="false">J349*F349</f>
        <v>653.8064453125</v>
      </c>
    </row>
    <row r="350" customFormat="false" ht="17.5" hidden="false" customHeight="false" outlineLevel="0" collapsed="false">
      <c r="A350" s="23" t="s">
        <v>540</v>
      </c>
      <c r="B350" s="55" t="s">
        <v>26</v>
      </c>
      <c r="C350" s="23" t="s">
        <v>159</v>
      </c>
      <c r="D350" s="25" t="s">
        <v>160</v>
      </c>
      <c r="E350" s="23" t="s">
        <v>19</v>
      </c>
      <c r="F350" s="36" t="n">
        <f aca="false">'MEMORIAL DE CALCULO'!F657</f>
        <v>113.70546875</v>
      </c>
      <c r="G350" s="27" t="n">
        <v>23.71</v>
      </c>
      <c r="H350" s="27" t="n">
        <f aca="false">G350*F350</f>
        <v>2695.9566640625</v>
      </c>
      <c r="I350" s="28" t="n">
        <v>1.207</v>
      </c>
      <c r="J350" s="27" t="n">
        <f aca="false">ROUND(G350*I350,2)</f>
        <v>28.62</v>
      </c>
      <c r="K350" s="37" t="n">
        <f aca="false">J350*F350</f>
        <v>3254.250515625</v>
      </c>
    </row>
    <row r="351" customFormat="false" ht="17.5" hidden="false" customHeight="false" outlineLevel="0" collapsed="false">
      <c r="A351" s="23" t="s">
        <v>541</v>
      </c>
      <c r="B351" s="55" t="s">
        <v>26</v>
      </c>
      <c r="C351" s="23" t="s">
        <v>162</v>
      </c>
      <c r="D351" s="25" t="s">
        <v>163</v>
      </c>
      <c r="E351" s="23" t="s">
        <v>19</v>
      </c>
      <c r="F351" s="36" t="n">
        <f aca="false">'MEMORIAL DE CALCULO'!F658</f>
        <v>113.70546875</v>
      </c>
      <c r="G351" s="27" t="n">
        <v>13.85</v>
      </c>
      <c r="H351" s="27" t="n">
        <f aca="false">G351*F351</f>
        <v>1574.8207421875</v>
      </c>
      <c r="I351" s="28" t="n">
        <v>1.207</v>
      </c>
      <c r="J351" s="27" t="n">
        <f aca="false">ROUND(G351*I351,2)</f>
        <v>16.72</v>
      </c>
      <c r="K351" s="37" t="n">
        <f aca="false">J351*F351</f>
        <v>1901.1554375</v>
      </c>
    </row>
    <row r="352" customFormat="false" ht="17.5" hidden="false" customHeight="false" outlineLevel="0" collapsed="false">
      <c r="A352" s="23" t="s">
        <v>542</v>
      </c>
      <c r="B352" s="24" t="s">
        <v>57</v>
      </c>
      <c r="C352" s="23" t="n">
        <v>88411</v>
      </c>
      <c r="D352" s="25" t="s">
        <v>168</v>
      </c>
      <c r="E352" s="23" t="s">
        <v>19</v>
      </c>
      <c r="F352" s="36" t="n">
        <f aca="false">F353</f>
        <v>113.70546875</v>
      </c>
      <c r="G352" s="37" t="n">
        <v>5.34</v>
      </c>
      <c r="H352" s="27" t="n">
        <f aca="false">G352*F352</f>
        <v>607.187203125</v>
      </c>
      <c r="I352" s="28" t="n">
        <v>1.207</v>
      </c>
      <c r="J352" s="27" t="n">
        <f aca="false">ROUND(G352*I352,2)</f>
        <v>6.45</v>
      </c>
      <c r="K352" s="27" t="n">
        <f aca="false">J352*F352</f>
        <v>733.4002734375</v>
      </c>
    </row>
    <row r="353" customFormat="false" ht="17.5" hidden="false" customHeight="false" outlineLevel="0" collapsed="false">
      <c r="A353" s="23" t="s">
        <v>543</v>
      </c>
      <c r="B353" s="24" t="s">
        <v>57</v>
      </c>
      <c r="C353" s="23" t="n">
        <v>88489</v>
      </c>
      <c r="D353" s="25" t="s">
        <v>172</v>
      </c>
      <c r="E353" s="23" t="s">
        <v>19</v>
      </c>
      <c r="F353" s="36" t="n">
        <f aca="false">'MEMORIAL DE CALCULO'!F660</f>
        <v>113.70546875</v>
      </c>
      <c r="G353" s="27" t="n">
        <v>14.4</v>
      </c>
      <c r="H353" s="27" t="n">
        <f aca="false">G353*F353</f>
        <v>1637.35875</v>
      </c>
      <c r="I353" s="28" t="n">
        <v>1.207</v>
      </c>
      <c r="J353" s="27" t="n">
        <f aca="false">ROUND(G353*I353,2)</f>
        <v>17.38</v>
      </c>
      <c r="K353" s="37" t="n">
        <f aca="false">J353*F353</f>
        <v>1976.201046875</v>
      </c>
    </row>
    <row r="354" customFormat="false" ht="17.5" hidden="false" customHeight="false" outlineLevel="0" collapsed="false">
      <c r="A354" s="66" t="s">
        <v>544</v>
      </c>
      <c r="B354" s="66"/>
      <c r="C354" s="66"/>
      <c r="D354" s="66"/>
      <c r="E354" s="66"/>
      <c r="F354" s="66"/>
      <c r="G354" s="66"/>
      <c r="H354" s="66"/>
      <c r="I354" s="66"/>
      <c r="J354" s="66"/>
      <c r="K354" s="65" t="n">
        <f aca="false">SUM(K355:K356)</f>
        <v>12010.32</v>
      </c>
      <c r="L354" s="29"/>
      <c r="M354" s="29"/>
      <c r="N354" s="29"/>
      <c r="O354" s="29"/>
      <c r="P354" s="29"/>
    </row>
    <row r="355" customFormat="false" ht="17.5" hidden="false" customHeight="false" outlineLevel="0" collapsed="false">
      <c r="A355" s="23" t="s">
        <v>545</v>
      </c>
      <c r="B355" s="24" t="s">
        <v>57</v>
      </c>
      <c r="C355" s="23" t="n">
        <v>88411</v>
      </c>
      <c r="D355" s="25" t="s">
        <v>168</v>
      </c>
      <c r="E355" s="23" t="s">
        <v>19</v>
      </c>
      <c r="F355" s="36" t="n">
        <f aca="false">'MEMORIAL DE CALCULO'!F662</f>
        <v>504</v>
      </c>
      <c r="G355" s="37" t="n">
        <v>5.34</v>
      </c>
      <c r="H355" s="27" t="n">
        <f aca="false">G355*F355</f>
        <v>2691.36</v>
      </c>
      <c r="I355" s="28" t="n">
        <v>1.207</v>
      </c>
      <c r="J355" s="27" t="n">
        <f aca="false">ROUND(G355*I355,2)</f>
        <v>6.45</v>
      </c>
      <c r="K355" s="27" t="n">
        <f aca="false">J355*F355</f>
        <v>3250.8</v>
      </c>
    </row>
    <row r="356" customFormat="false" ht="17.5" hidden="false" customHeight="false" outlineLevel="0" collapsed="false">
      <c r="A356" s="23" t="s">
        <v>546</v>
      </c>
      <c r="B356" s="24" t="s">
        <v>57</v>
      </c>
      <c r="C356" s="23" t="n">
        <v>88489</v>
      </c>
      <c r="D356" s="25" t="s">
        <v>172</v>
      </c>
      <c r="E356" s="23" t="s">
        <v>19</v>
      </c>
      <c r="F356" s="36" t="n">
        <f aca="false">F355</f>
        <v>504</v>
      </c>
      <c r="G356" s="27" t="n">
        <v>14.4</v>
      </c>
      <c r="H356" s="27" t="n">
        <f aca="false">G356*F356</f>
        <v>7257.6</v>
      </c>
      <c r="I356" s="28" t="n">
        <v>1.207</v>
      </c>
      <c r="J356" s="27" t="n">
        <f aca="false">ROUND(G356*I356,2)</f>
        <v>17.38</v>
      </c>
      <c r="K356" s="37" t="n">
        <f aca="false">J356*F356</f>
        <v>8759.52</v>
      </c>
    </row>
    <row r="357" customFormat="false" ht="17.5" hidden="false" customHeight="false" outlineLevel="0" collapsed="false">
      <c r="A357" s="32"/>
      <c r="B357" s="32"/>
      <c r="C357" s="32"/>
      <c r="D357" s="32"/>
      <c r="E357" s="32"/>
      <c r="F357" s="32"/>
      <c r="G357" s="33" t="s">
        <v>547</v>
      </c>
      <c r="H357" s="33"/>
      <c r="I357" s="33"/>
      <c r="J357" s="33"/>
      <c r="K357" s="34" t="n">
        <f aca="false">SUM(K336+K326+K317+K354)</f>
        <v>72272.58272555</v>
      </c>
      <c r="L357" s="29"/>
      <c r="M357" s="29"/>
      <c r="N357" s="29"/>
      <c r="O357" s="29"/>
      <c r="P357" s="29"/>
    </row>
    <row r="358" customFormat="false" ht="17.5" hidden="false" customHeight="false" outlineLevel="0" collapsed="false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29"/>
      <c r="M358" s="29"/>
      <c r="N358" s="29"/>
      <c r="O358" s="29"/>
      <c r="P358" s="29"/>
    </row>
    <row r="359" customFormat="false" ht="17.5" hidden="false" customHeight="false" outlineLevel="0" collapsed="false">
      <c r="A359" s="72" t="s">
        <v>548</v>
      </c>
      <c r="B359" s="21" t="s">
        <v>549</v>
      </c>
      <c r="C359" s="21"/>
      <c r="D359" s="21"/>
      <c r="E359" s="21"/>
      <c r="F359" s="21"/>
      <c r="G359" s="21"/>
      <c r="H359" s="21"/>
      <c r="I359" s="21"/>
      <c r="J359" s="21"/>
      <c r="K359" s="22" t="n">
        <f aca="false">SUM(K360)</f>
        <v>10332.668</v>
      </c>
    </row>
    <row r="360" customFormat="false" ht="17.5" hidden="false" customHeight="false" outlineLevel="0" collapsed="false">
      <c r="A360" s="23" t="s">
        <v>550</v>
      </c>
      <c r="B360" s="45" t="s">
        <v>21</v>
      </c>
      <c r="C360" s="23" t="s">
        <v>551</v>
      </c>
      <c r="D360" s="41" t="s">
        <v>552</v>
      </c>
      <c r="E360" s="23" t="s">
        <v>19</v>
      </c>
      <c r="F360" s="36" t="n">
        <f aca="false">SUM(2*2.65)*2</f>
        <v>10.6</v>
      </c>
      <c r="G360" s="37" t="n">
        <f aca="false">993.36/1.23</f>
        <v>807.609756097561</v>
      </c>
      <c r="H360" s="37" t="n">
        <f aca="false">F360*G360</f>
        <v>8560.66341463415</v>
      </c>
      <c r="I360" s="38" t="n">
        <v>1.207</v>
      </c>
      <c r="J360" s="37" t="n">
        <f aca="false">ROUND(G360*I360,2)</f>
        <v>974.78</v>
      </c>
      <c r="K360" s="37" t="n">
        <f aca="false">J360*F360</f>
        <v>10332.668</v>
      </c>
    </row>
    <row r="361" customFormat="false" ht="17.5" hidden="false" customHeight="false" outlineLevel="0" collapsed="false">
      <c r="A361" s="32"/>
      <c r="B361" s="32"/>
      <c r="C361" s="32"/>
      <c r="D361" s="32"/>
      <c r="E361" s="32"/>
      <c r="F361" s="32"/>
      <c r="G361" s="33" t="s">
        <v>553</v>
      </c>
      <c r="H361" s="33"/>
      <c r="I361" s="33"/>
      <c r="J361" s="33"/>
      <c r="K361" s="34" t="n">
        <f aca="false">SUM(K360)</f>
        <v>10332.668</v>
      </c>
      <c r="L361" s="29"/>
      <c r="M361" s="29"/>
      <c r="N361" s="29"/>
      <c r="O361" s="29"/>
      <c r="P361" s="29"/>
    </row>
    <row r="362" customFormat="false" ht="17.5" hidden="false" customHeight="false" outlineLevel="0" collapsed="false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29"/>
      <c r="M362" s="29"/>
      <c r="N362" s="29"/>
      <c r="O362" s="29"/>
      <c r="P362" s="29"/>
    </row>
    <row r="363" customFormat="false" ht="17.5" hidden="false" customHeight="false" outlineLevel="0" collapsed="false">
      <c r="A363" s="20" t="n">
        <v>18</v>
      </c>
      <c r="B363" s="21" t="s">
        <v>554</v>
      </c>
      <c r="C363" s="21"/>
      <c r="D363" s="21"/>
      <c r="E363" s="21"/>
      <c r="F363" s="21"/>
      <c r="G363" s="21"/>
      <c r="H363" s="21"/>
      <c r="I363" s="21"/>
      <c r="J363" s="21"/>
      <c r="K363" s="22" t="n">
        <f aca="false">SUM(K364:K366)</f>
        <v>4012.708</v>
      </c>
    </row>
    <row r="364" customFormat="false" ht="17.5" hidden="false" customHeight="false" outlineLevel="0" collapsed="false">
      <c r="A364" s="23" t="s">
        <v>555</v>
      </c>
      <c r="B364" s="45" t="s">
        <v>21</v>
      </c>
      <c r="C364" s="23" t="s">
        <v>479</v>
      </c>
      <c r="D364" s="41" t="s">
        <v>480</v>
      </c>
      <c r="E364" s="23" t="s">
        <v>19</v>
      </c>
      <c r="F364" s="36" t="n">
        <f aca="false">'MEMORIAL DE CALCULO'!F671</f>
        <v>82.6</v>
      </c>
      <c r="G364" s="37" t="n">
        <f aca="false">14.76/1.23</f>
        <v>12</v>
      </c>
      <c r="H364" s="37" t="n">
        <f aca="false">F364*G364</f>
        <v>991.2</v>
      </c>
      <c r="I364" s="38" t="n">
        <v>1.207</v>
      </c>
      <c r="J364" s="37" t="n">
        <f aca="false">ROUND(G364*I364,2)</f>
        <v>14.48</v>
      </c>
      <c r="K364" s="37" t="n">
        <f aca="false">J364*F364</f>
        <v>1196.048</v>
      </c>
    </row>
    <row r="365" customFormat="false" ht="17.5" hidden="false" customHeight="false" outlineLevel="0" collapsed="false">
      <c r="A365" s="23" t="s">
        <v>556</v>
      </c>
      <c r="B365" s="55" t="s">
        <v>26</v>
      </c>
      <c r="C365" s="23" t="s">
        <v>162</v>
      </c>
      <c r="D365" s="25" t="s">
        <v>163</v>
      </c>
      <c r="E365" s="23" t="s">
        <v>19</v>
      </c>
      <c r="F365" s="36" t="n">
        <f aca="false">F364</f>
        <v>82.6</v>
      </c>
      <c r="G365" s="27" t="n">
        <v>13.85</v>
      </c>
      <c r="H365" s="37" t="n">
        <f aca="false">F365*G365</f>
        <v>1144.01</v>
      </c>
      <c r="I365" s="38" t="n">
        <v>1.207</v>
      </c>
      <c r="J365" s="37" t="n">
        <f aca="false">ROUND(G365*I365,2)</f>
        <v>16.72</v>
      </c>
      <c r="K365" s="37" t="n">
        <f aca="false">J365*F365</f>
        <v>1381.072</v>
      </c>
    </row>
    <row r="366" customFormat="false" ht="17.5" hidden="false" customHeight="false" outlineLevel="0" collapsed="false">
      <c r="A366" s="23" t="s">
        <v>557</v>
      </c>
      <c r="B366" s="24" t="s">
        <v>57</v>
      </c>
      <c r="C366" s="23" t="n">
        <v>88489</v>
      </c>
      <c r="D366" s="25" t="s">
        <v>172</v>
      </c>
      <c r="E366" s="23" t="s">
        <v>19</v>
      </c>
      <c r="F366" s="36" t="n">
        <f aca="false">F365</f>
        <v>82.6</v>
      </c>
      <c r="G366" s="27" t="n">
        <v>14.4</v>
      </c>
      <c r="H366" s="37" t="n">
        <f aca="false">F366*G366</f>
        <v>1189.44</v>
      </c>
      <c r="I366" s="38" t="n">
        <v>1.207</v>
      </c>
      <c r="J366" s="37" t="n">
        <f aca="false">ROUND(G366*I366,2)</f>
        <v>17.38</v>
      </c>
      <c r="K366" s="37" t="n">
        <f aca="false">J366*F366</f>
        <v>1435.588</v>
      </c>
    </row>
    <row r="367" customFormat="false" ht="17.5" hidden="false" customHeight="false" outlineLevel="0" collapsed="false">
      <c r="A367" s="32"/>
      <c r="B367" s="32"/>
      <c r="C367" s="32"/>
      <c r="D367" s="32"/>
      <c r="E367" s="32"/>
      <c r="F367" s="32"/>
      <c r="G367" s="33" t="s">
        <v>558</v>
      </c>
      <c r="H367" s="33"/>
      <c r="I367" s="33"/>
      <c r="J367" s="33"/>
      <c r="K367" s="34" t="n">
        <f aca="false">K364+K365+K366</f>
        <v>4012.708</v>
      </c>
      <c r="L367" s="29"/>
      <c r="M367" s="29"/>
      <c r="N367" s="29"/>
      <c r="O367" s="29"/>
      <c r="P367" s="29"/>
    </row>
    <row r="368" customFormat="false" ht="17.5" hidden="false" customHeight="false" outlineLevel="0" collapsed="false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29"/>
      <c r="M368" s="29"/>
      <c r="N368" s="29"/>
      <c r="O368" s="29"/>
      <c r="P368" s="29"/>
    </row>
    <row r="369" customFormat="false" ht="17.5" hidden="false" customHeight="false" outlineLevel="0" collapsed="false">
      <c r="A369" s="20" t="s">
        <v>559</v>
      </c>
      <c r="B369" s="21" t="s">
        <v>560</v>
      </c>
      <c r="C369" s="21"/>
      <c r="D369" s="21"/>
      <c r="E369" s="21"/>
      <c r="F369" s="21"/>
      <c r="G369" s="21"/>
      <c r="H369" s="21"/>
      <c r="I369" s="21"/>
      <c r="J369" s="21"/>
      <c r="K369" s="22"/>
    </row>
    <row r="370" customFormat="false" ht="17.5" hidden="false" customHeight="false" outlineLevel="0" collapsed="false">
      <c r="A370" s="23" t="s">
        <v>561</v>
      </c>
      <c r="B370" s="30" t="s">
        <v>21</v>
      </c>
      <c r="C370" s="23" t="s">
        <v>281</v>
      </c>
      <c r="D370" s="41" t="s">
        <v>282</v>
      </c>
      <c r="E370" s="23" t="s">
        <v>19</v>
      </c>
      <c r="F370" s="36" t="n">
        <v>563</v>
      </c>
      <c r="G370" s="37" t="n">
        <f aca="false">34.18/1.23</f>
        <v>27.7886178861789</v>
      </c>
      <c r="H370" s="37" t="n">
        <f aca="false">F370*G370</f>
        <v>15644.9918699187</v>
      </c>
      <c r="I370" s="38" t="n">
        <v>1.207</v>
      </c>
      <c r="J370" s="37" t="n">
        <f aca="false">ROUND(G370*I370,2)</f>
        <v>33.54</v>
      </c>
      <c r="K370" s="37" t="n">
        <f aca="false">J370*F370</f>
        <v>18883.02</v>
      </c>
    </row>
    <row r="371" customFormat="false" ht="17.5" hidden="false" customHeight="false" outlineLevel="0" collapsed="false">
      <c r="A371" s="32"/>
      <c r="B371" s="32"/>
      <c r="C371" s="32"/>
      <c r="D371" s="32"/>
      <c r="E371" s="32"/>
      <c r="F371" s="32"/>
      <c r="G371" s="33" t="s">
        <v>562</v>
      </c>
      <c r="H371" s="33"/>
      <c r="I371" s="33"/>
      <c r="J371" s="33"/>
      <c r="K371" s="34" t="n">
        <f aca="false">K370</f>
        <v>18883.02</v>
      </c>
      <c r="L371" s="29"/>
      <c r="M371" s="29"/>
      <c r="N371" s="29"/>
      <c r="O371" s="29"/>
      <c r="P371" s="29"/>
    </row>
    <row r="372" customFormat="false" ht="17.5" hidden="false" customHeight="false" outlineLevel="0" collapsed="false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29"/>
      <c r="M372" s="29"/>
      <c r="N372" s="29"/>
      <c r="O372" s="29"/>
      <c r="P372" s="29"/>
    </row>
    <row r="373" customFormat="false" ht="17.5" hidden="false" customHeight="false" outlineLevel="0" collapsed="false">
      <c r="A373" s="20" t="s">
        <v>563</v>
      </c>
      <c r="B373" s="21" t="s">
        <v>564</v>
      </c>
      <c r="C373" s="21"/>
      <c r="D373" s="21"/>
      <c r="E373" s="21"/>
      <c r="F373" s="21"/>
      <c r="G373" s="21"/>
      <c r="H373" s="21"/>
      <c r="I373" s="21"/>
      <c r="J373" s="21"/>
      <c r="K373" s="22"/>
    </row>
    <row r="374" customFormat="false" ht="17.5" hidden="false" customHeight="false" outlineLevel="0" collapsed="false">
      <c r="A374" s="73" t="s">
        <v>565</v>
      </c>
      <c r="B374" s="73"/>
      <c r="C374" s="73"/>
      <c r="D374" s="73"/>
      <c r="E374" s="73"/>
      <c r="F374" s="73"/>
      <c r="G374" s="73"/>
      <c r="H374" s="73"/>
      <c r="I374" s="73"/>
      <c r="J374" s="73"/>
      <c r="K374" s="74" t="n">
        <f aca="false">K375</f>
        <v>9426.75</v>
      </c>
      <c r="L374" s="29"/>
      <c r="M374" s="29"/>
      <c r="N374" s="29"/>
      <c r="O374" s="29"/>
      <c r="P374" s="29"/>
    </row>
    <row r="375" customFormat="false" ht="17.5" hidden="false" customHeight="false" outlineLevel="0" collapsed="false">
      <c r="A375" s="23" t="s">
        <v>566</v>
      </c>
      <c r="B375" s="55" t="s">
        <v>26</v>
      </c>
      <c r="C375" s="23" t="s">
        <v>567</v>
      </c>
      <c r="D375" s="41" t="s">
        <v>568</v>
      </c>
      <c r="E375" s="23" t="s">
        <v>24</v>
      </c>
      <c r="F375" s="36" t="n">
        <v>5</v>
      </c>
      <c r="G375" s="37" t="n">
        <f aca="false">1866.61/1.195</f>
        <v>1562.01673640167</v>
      </c>
      <c r="H375" s="37" t="n">
        <f aca="false">F375*G375</f>
        <v>7810.08368200837</v>
      </c>
      <c r="I375" s="38" t="n">
        <v>1.207</v>
      </c>
      <c r="J375" s="37" t="n">
        <f aca="false">ROUND(G375*I375,2)</f>
        <v>1885.35</v>
      </c>
      <c r="K375" s="37" t="n">
        <f aca="false">J375*F375</f>
        <v>9426.75</v>
      </c>
    </row>
    <row r="376" customFormat="false" ht="17.5" hidden="false" customHeight="false" outlineLevel="0" collapsed="false">
      <c r="A376" s="73" t="s">
        <v>173</v>
      </c>
      <c r="B376" s="73"/>
      <c r="C376" s="73"/>
      <c r="D376" s="73"/>
      <c r="E376" s="73"/>
      <c r="F376" s="73"/>
      <c r="G376" s="73"/>
      <c r="H376" s="73"/>
      <c r="I376" s="73"/>
      <c r="J376" s="73"/>
      <c r="K376" s="74" t="n">
        <f aca="false">SUM(K377:K388)</f>
        <v>50179.7691</v>
      </c>
      <c r="L376" s="29"/>
      <c r="M376" s="29"/>
      <c r="N376" s="29"/>
      <c r="O376" s="29"/>
      <c r="P376" s="29"/>
    </row>
    <row r="377" customFormat="false" ht="17.5" hidden="false" customHeight="false" outlineLevel="0" collapsed="false">
      <c r="A377" s="23" t="s">
        <v>569</v>
      </c>
      <c r="B377" s="24" t="s">
        <v>57</v>
      </c>
      <c r="C377" s="23" t="n">
        <v>97633</v>
      </c>
      <c r="D377" s="41" t="s">
        <v>570</v>
      </c>
      <c r="E377" s="23" t="s">
        <v>19</v>
      </c>
      <c r="F377" s="36" t="n">
        <f aca="false">4.9+4.9+9.2+7.5+27+8+45</f>
        <v>106.5</v>
      </c>
      <c r="G377" s="37" t="n">
        <v>30.39</v>
      </c>
      <c r="H377" s="37" t="n">
        <f aca="false">F377*G377</f>
        <v>3236.535</v>
      </c>
      <c r="I377" s="38" t="n">
        <v>1.207</v>
      </c>
      <c r="J377" s="37" t="n">
        <f aca="false">ROUND(G377*I377,2)</f>
        <v>36.68</v>
      </c>
      <c r="K377" s="37" t="n">
        <f aca="false">J377*F377</f>
        <v>3906.42</v>
      </c>
    </row>
    <row r="378" customFormat="false" ht="17.5" hidden="false" customHeight="false" outlineLevel="0" collapsed="false">
      <c r="A378" s="23" t="s">
        <v>571</v>
      </c>
      <c r="B378" s="55" t="s">
        <v>26</v>
      </c>
      <c r="C378" s="23" t="s">
        <v>572</v>
      </c>
      <c r="D378" s="25" t="s">
        <v>573</v>
      </c>
      <c r="E378" s="23" t="s">
        <v>49</v>
      </c>
      <c r="F378" s="26" t="n">
        <f aca="false">205*0.15</f>
        <v>30.75</v>
      </c>
      <c r="G378" s="27" t="n">
        <v>235.73</v>
      </c>
      <c r="H378" s="37" t="n">
        <f aca="false">F378*G378</f>
        <v>7248.6975</v>
      </c>
      <c r="I378" s="38" t="n">
        <v>1.207</v>
      </c>
      <c r="J378" s="37" t="n">
        <f aca="false">ROUND(G378*I378,2)</f>
        <v>284.53</v>
      </c>
      <c r="K378" s="27" t="n">
        <f aca="false">J378*F378</f>
        <v>8749.2975</v>
      </c>
    </row>
    <row r="379" customFormat="false" ht="17.5" hidden="false" customHeight="false" outlineLevel="0" collapsed="false">
      <c r="A379" s="23" t="s">
        <v>574</v>
      </c>
      <c r="B379" s="30" t="s">
        <v>21</v>
      </c>
      <c r="C379" s="23" t="s">
        <v>254</v>
      </c>
      <c r="D379" s="25" t="s">
        <v>255</v>
      </c>
      <c r="E379" s="23" t="s">
        <v>575</v>
      </c>
      <c r="F379" s="26" t="n">
        <f aca="false">SUM(F377*0.03)+F378</f>
        <v>33.945</v>
      </c>
      <c r="G379" s="40" t="n">
        <f aca="false">116/1.23</f>
        <v>94.3089430894309</v>
      </c>
      <c r="H379" s="37" t="n">
        <f aca="false">F379*G379</f>
        <v>3201.31707317073</v>
      </c>
      <c r="I379" s="38" t="n">
        <v>1.207</v>
      </c>
      <c r="J379" s="37" t="n">
        <f aca="false">ROUND(G379*I379,2)</f>
        <v>113.83</v>
      </c>
      <c r="K379" s="40" t="n">
        <f aca="false">J379*F379</f>
        <v>3863.95935</v>
      </c>
    </row>
    <row r="380" customFormat="false" ht="17.5" hidden="false" customHeight="false" outlineLevel="0" collapsed="false">
      <c r="A380" s="23" t="s">
        <v>576</v>
      </c>
      <c r="B380" s="30" t="s">
        <v>21</v>
      </c>
      <c r="C380" s="23" t="s">
        <v>577</v>
      </c>
      <c r="D380" s="25" t="s">
        <v>578</v>
      </c>
      <c r="E380" s="23" t="s">
        <v>84</v>
      </c>
      <c r="F380" s="26" t="n">
        <f aca="false">F379*30</f>
        <v>1018.35</v>
      </c>
      <c r="G380" s="40" t="n">
        <f aca="false">2.52/1.23</f>
        <v>2.04878048780488</v>
      </c>
      <c r="H380" s="37" t="n">
        <f aca="false">F380*G380</f>
        <v>2086.3756097561</v>
      </c>
      <c r="I380" s="38" t="n">
        <v>1.207</v>
      </c>
      <c r="J380" s="37" t="n">
        <f aca="false">ROUND(G380*I380,2)</f>
        <v>2.47</v>
      </c>
      <c r="K380" s="40" t="n">
        <f aca="false">J380*F380</f>
        <v>2515.3245</v>
      </c>
    </row>
    <row r="381" customFormat="false" ht="17.5" hidden="false" customHeight="false" outlineLevel="0" collapsed="false">
      <c r="A381" s="23" t="s">
        <v>579</v>
      </c>
      <c r="B381" s="24" t="s">
        <v>57</v>
      </c>
      <c r="C381" s="23" t="n">
        <v>87257</v>
      </c>
      <c r="D381" s="25" t="s">
        <v>185</v>
      </c>
      <c r="E381" s="23" t="s">
        <v>19</v>
      </c>
      <c r="F381" s="26" t="n">
        <f aca="false">F377</f>
        <v>106.5</v>
      </c>
      <c r="G381" s="27" t="n">
        <v>60.39</v>
      </c>
      <c r="H381" s="37" t="n">
        <f aca="false">F381*G381</f>
        <v>6431.535</v>
      </c>
      <c r="I381" s="38" t="n">
        <v>1.207</v>
      </c>
      <c r="J381" s="37" t="n">
        <f aca="false">ROUND(G381*I381,2)</f>
        <v>72.89</v>
      </c>
      <c r="K381" s="27" t="n">
        <f aca="false">J381*F381</f>
        <v>7762.785</v>
      </c>
      <c r="L381" s="29"/>
      <c r="M381" s="29"/>
      <c r="N381" s="29"/>
      <c r="O381" s="29"/>
      <c r="P381" s="29"/>
    </row>
    <row r="382" customFormat="false" ht="17.5" hidden="false" customHeight="false" outlineLevel="0" collapsed="false">
      <c r="A382" s="23" t="s">
        <v>580</v>
      </c>
      <c r="B382" s="24" t="s">
        <v>57</v>
      </c>
      <c r="C382" s="23" t="n">
        <v>88650</v>
      </c>
      <c r="D382" s="25" t="s">
        <v>187</v>
      </c>
      <c r="E382" s="23" t="s">
        <v>24</v>
      </c>
      <c r="F382" s="26" t="n">
        <f aca="false">12+4+8+5.1+5.1+15+15+2.7+2+3.4+3+3.7+16+8+14+6+3.4+3</f>
        <v>129.4</v>
      </c>
      <c r="G382" s="27" t="n">
        <v>11.58</v>
      </c>
      <c r="H382" s="37" t="n">
        <f aca="false">F382*G382</f>
        <v>1498.452</v>
      </c>
      <c r="I382" s="38" t="n">
        <v>1.207</v>
      </c>
      <c r="J382" s="27" t="n">
        <f aca="false">ROUND(G382*I382,2)</f>
        <v>13.98</v>
      </c>
      <c r="K382" s="27" t="n">
        <f aca="false">J382*F382</f>
        <v>1809.012</v>
      </c>
      <c r="L382" s="29"/>
      <c r="M382" s="29"/>
      <c r="N382" s="29"/>
      <c r="O382" s="29"/>
      <c r="P382" s="29"/>
    </row>
    <row r="383" customFormat="false" ht="17.5" hidden="false" customHeight="false" outlineLevel="0" collapsed="false">
      <c r="A383" s="23" t="s">
        <v>581</v>
      </c>
      <c r="B383" s="24" t="s">
        <v>57</v>
      </c>
      <c r="C383" s="23" t="n">
        <v>96624</v>
      </c>
      <c r="D383" s="25" t="s">
        <v>175</v>
      </c>
      <c r="E383" s="23" t="s">
        <v>49</v>
      </c>
      <c r="F383" s="26" t="n">
        <f aca="false">F377*0.05</f>
        <v>5.325</v>
      </c>
      <c r="G383" s="27" t="n">
        <v>165.13</v>
      </c>
      <c r="H383" s="37" t="n">
        <f aca="false">F383*G383</f>
        <v>879.31725</v>
      </c>
      <c r="I383" s="38" t="n">
        <v>1.207</v>
      </c>
      <c r="J383" s="27" t="n">
        <f aca="false">ROUND(G383*I383,2)</f>
        <v>199.31</v>
      </c>
      <c r="K383" s="27" t="n">
        <f aca="false">J383*F383</f>
        <v>1061.32575</v>
      </c>
      <c r="L383" s="29"/>
      <c r="M383" s="42"/>
      <c r="N383" s="29"/>
      <c r="O383" s="29"/>
      <c r="P383" s="29"/>
    </row>
    <row r="384" customFormat="false" ht="17.5" hidden="false" customHeight="false" outlineLevel="0" collapsed="false">
      <c r="A384" s="23" t="s">
        <v>582</v>
      </c>
      <c r="B384" s="24" t="s">
        <v>57</v>
      </c>
      <c r="C384" s="23" t="n">
        <v>97113</v>
      </c>
      <c r="D384" s="25" t="s">
        <v>65</v>
      </c>
      <c r="E384" s="23" t="s">
        <v>19</v>
      </c>
      <c r="F384" s="26" t="n">
        <f aca="false">F377</f>
        <v>106.5</v>
      </c>
      <c r="G384" s="27" t="n">
        <v>1.62</v>
      </c>
      <c r="H384" s="37" t="n">
        <f aca="false">F384*G384</f>
        <v>172.53</v>
      </c>
      <c r="I384" s="38" t="n">
        <v>1.207</v>
      </c>
      <c r="J384" s="27" t="n">
        <f aca="false">ROUND(G384*I384,2)</f>
        <v>1.96</v>
      </c>
      <c r="K384" s="27" t="n">
        <f aca="false">J384*F384</f>
        <v>208.74</v>
      </c>
      <c r="L384" s="29"/>
      <c r="M384" s="42"/>
      <c r="N384" s="29"/>
      <c r="O384" s="29"/>
      <c r="P384" s="29"/>
    </row>
    <row r="385" customFormat="false" ht="21.6" hidden="false" customHeight="false" outlineLevel="0" collapsed="false">
      <c r="A385" s="23" t="s">
        <v>583</v>
      </c>
      <c r="B385" s="24" t="s">
        <v>57</v>
      </c>
      <c r="C385" s="23" t="n">
        <v>90930</v>
      </c>
      <c r="D385" s="25" t="s">
        <v>584</v>
      </c>
      <c r="E385" s="23" t="s">
        <v>19</v>
      </c>
      <c r="F385" s="26" t="n">
        <f aca="false">F377</f>
        <v>106.5</v>
      </c>
      <c r="G385" s="27" t="n">
        <v>78.42</v>
      </c>
      <c r="H385" s="37" t="n">
        <f aca="false">F385*G385</f>
        <v>8351.73</v>
      </c>
      <c r="I385" s="38" t="n">
        <v>1.207</v>
      </c>
      <c r="J385" s="27" t="n">
        <f aca="false">ROUND(G385*I385,2)</f>
        <v>94.65</v>
      </c>
      <c r="K385" s="27" t="n">
        <f aca="false">J385*F385</f>
        <v>10080.225</v>
      </c>
      <c r="L385" s="29"/>
      <c r="M385" s="42"/>
      <c r="N385" s="29"/>
      <c r="O385" s="29"/>
      <c r="P385" s="29"/>
    </row>
    <row r="386" customFormat="false" ht="17.5" hidden="false" customHeight="false" outlineLevel="0" collapsed="false">
      <c r="A386" s="23" t="s">
        <v>585</v>
      </c>
      <c r="B386" s="30" t="s">
        <v>21</v>
      </c>
      <c r="C386" s="23" t="s">
        <v>586</v>
      </c>
      <c r="D386" s="25" t="s">
        <v>587</v>
      </c>
      <c r="E386" s="23" t="s">
        <v>19</v>
      </c>
      <c r="F386" s="26" t="n">
        <v>4.5</v>
      </c>
      <c r="G386" s="27" t="n">
        <f aca="false">241.76/1.23</f>
        <v>196.552845528455</v>
      </c>
      <c r="H386" s="37" t="n">
        <f aca="false">F386*G386</f>
        <v>884.487804878049</v>
      </c>
      <c r="I386" s="38" t="n">
        <v>1.207</v>
      </c>
      <c r="J386" s="27" t="n">
        <f aca="false">ROUND(G386*I386,2)</f>
        <v>237.24</v>
      </c>
      <c r="K386" s="27" t="n">
        <f aca="false">J386*F386</f>
        <v>1067.58</v>
      </c>
      <c r="L386" s="29"/>
      <c r="M386" s="29"/>
      <c r="N386" s="29"/>
      <c r="O386" s="29"/>
      <c r="P386" s="29"/>
    </row>
    <row r="387" customFormat="false" ht="17.5" hidden="false" customHeight="false" outlineLevel="0" collapsed="false">
      <c r="A387" s="23" t="s">
        <v>588</v>
      </c>
      <c r="B387" s="30" t="s">
        <v>21</v>
      </c>
      <c r="C387" s="23" t="s">
        <v>589</v>
      </c>
      <c r="D387" s="25" t="s">
        <v>590</v>
      </c>
      <c r="E387" s="23" t="s">
        <v>19</v>
      </c>
      <c r="F387" s="26" t="n">
        <v>12.5</v>
      </c>
      <c r="G387" s="27" t="n">
        <f aca="false">267.22/1.23</f>
        <v>217.252032520325</v>
      </c>
      <c r="H387" s="37" t="n">
        <f aca="false">F387*G387</f>
        <v>2715.65040650407</v>
      </c>
      <c r="I387" s="38" t="n">
        <v>1.207</v>
      </c>
      <c r="J387" s="27" t="n">
        <f aca="false">ROUND(G387*I387,2)</f>
        <v>262.22</v>
      </c>
      <c r="K387" s="27" t="n">
        <f aca="false">J387*F387</f>
        <v>3277.75</v>
      </c>
      <c r="L387" s="29"/>
      <c r="M387" s="42"/>
      <c r="N387" s="29"/>
      <c r="O387" s="29"/>
      <c r="P387" s="29"/>
    </row>
    <row r="388" customFormat="false" ht="17.5" hidden="false" customHeight="false" outlineLevel="0" collapsed="false">
      <c r="A388" s="23" t="s">
        <v>591</v>
      </c>
      <c r="B388" s="24" t="s">
        <v>57</v>
      </c>
      <c r="C388" s="23" t="n">
        <v>102491</v>
      </c>
      <c r="D388" s="25" t="s">
        <v>592</v>
      </c>
      <c r="E388" s="23" t="s">
        <v>19</v>
      </c>
      <c r="F388" s="26" t="n">
        <v>205</v>
      </c>
      <c r="G388" s="27" t="n">
        <v>23.75</v>
      </c>
      <c r="H388" s="37" t="n">
        <f aca="false">F388*G388</f>
        <v>4868.75</v>
      </c>
      <c r="I388" s="38" t="n">
        <v>1.207</v>
      </c>
      <c r="J388" s="27" t="n">
        <f aca="false">ROUND(G388*I388,2)</f>
        <v>28.67</v>
      </c>
      <c r="K388" s="27" t="n">
        <f aca="false">J388*F388</f>
        <v>5877.35</v>
      </c>
      <c r="L388" s="29"/>
      <c r="M388" s="42"/>
      <c r="N388" s="29"/>
      <c r="O388" s="29"/>
      <c r="P388" s="29"/>
    </row>
    <row r="389" customFormat="false" ht="17.5" hidden="false" customHeight="false" outlineLevel="0" collapsed="false">
      <c r="A389" s="66" t="s">
        <v>593</v>
      </c>
      <c r="B389" s="66"/>
      <c r="C389" s="66"/>
      <c r="D389" s="66"/>
      <c r="E389" s="66"/>
      <c r="F389" s="66"/>
      <c r="G389" s="66"/>
      <c r="H389" s="66"/>
      <c r="I389" s="66"/>
      <c r="J389" s="66"/>
      <c r="K389" s="65" t="n">
        <f aca="false">SUM(K390:K392)</f>
        <v>479.8112</v>
      </c>
      <c r="L389" s="29"/>
      <c r="M389" s="29"/>
      <c r="N389" s="29"/>
      <c r="O389" s="29"/>
      <c r="P389" s="29"/>
    </row>
    <row r="390" customFormat="false" ht="17.5" hidden="false" customHeight="false" outlineLevel="0" collapsed="false">
      <c r="A390" s="23" t="s">
        <v>594</v>
      </c>
      <c r="B390" s="24" t="s">
        <v>57</v>
      </c>
      <c r="C390" s="23" t="n">
        <v>96624</v>
      </c>
      <c r="D390" s="25" t="s">
        <v>175</v>
      </c>
      <c r="E390" s="23" t="s">
        <v>49</v>
      </c>
      <c r="F390" s="26" t="n">
        <f aca="false">0.42</f>
        <v>0.42</v>
      </c>
      <c r="G390" s="27" t="n">
        <v>165.13</v>
      </c>
      <c r="H390" s="27" t="n">
        <f aca="false">G390*F390</f>
        <v>69.3546</v>
      </c>
      <c r="I390" s="28" t="n">
        <v>1.207</v>
      </c>
      <c r="J390" s="27" t="n">
        <f aca="false">ROUND(G390*I390,2)</f>
        <v>199.31</v>
      </c>
      <c r="K390" s="27" t="n">
        <f aca="false">J390*F390</f>
        <v>83.7102</v>
      </c>
      <c r="L390" s="29"/>
      <c r="M390" s="42"/>
      <c r="N390" s="29"/>
      <c r="O390" s="29"/>
      <c r="P390" s="29"/>
    </row>
    <row r="391" customFormat="false" ht="17.5" hidden="false" customHeight="false" outlineLevel="0" collapsed="false">
      <c r="A391" s="23" t="s">
        <v>595</v>
      </c>
      <c r="B391" s="24" t="s">
        <v>57</v>
      </c>
      <c r="C391" s="23" t="n">
        <v>97113</v>
      </c>
      <c r="D391" s="25" t="s">
        <v>65</v>
      </c>
      <c r="E391" s="23" t="s">
        <v>19</v>
      </c>
      <c r="F391" s="26" t="n">
        <v>4.1</v>
      </c>
      <c r="G391" s="27" t="n">
        <v>1.62</v>
      </c>
      <c r="H391" s="27" t="n">
        <f aca="false">G391*F391</f>
        <v>6.642</v>
      </c>
      <c r="I391" s="28" t="n">
        <v>1.207</v>
      </c>
      <c r="J391" s="27" t="n">
        <f aca="false">ROUND(G391*I391,2)</f>
        <v>1.96</v>
      </c>
      <c r="K391" s="27" t="n">
        <f aca="false">J391*F391</f>
        <v>8.036</v>
      </c>
      <c r="L391" s="29"/>
      <c r="M391" s="42"/>
      <c r="N391" s="29"/>
      <c r="O391" s="29"/>
      <c r="P391" s="29"/>
    </row>
    <row r="392" customFormat="false" ht="21.6" hidden="false" customHeight="false" outlineLevel="0" collapsed="false">
      <c r="A392" s="23" t="s">
        <v>596</v>
      </c>
      <c r="B392" s="24" t="s">
        <v>57</v>
      </c>
      <c r="C392" s="23" t="n">
        <v>90930</v>
      </c>
      <c r="D392" s="25" t="s">
        <v>584</v>
      </c>
      <c r="E392" s="23" t="s">
        <v>19</v>
      </c>
      <c r="F392" s="26" t="n">
        <v>4.1</v>
      </c>
      <c r="G392" s="27" t="n">
        <v>78.42</v>
      </c>
      <c r="H392" s="27" t="n">
        <f aca="false">G392*F392</f>
        <v>321.522</v>
      </c>
      <c r="I392" s="28" t="n">
        <v>1.207</v>
      </c>
      <c r="J392" s="27" t="n">
        <f aca="false">ROUND(G392*I392,2)</f>
        <v>94.65</v>
      </c>
      <c r="K392" s="27" t="n">
        <f aca="false">J392*F392</f>
        <v>388.065</v>
      </c>
      <c r="L392" s="29"/>
      <c r="M392" s="42"/>
      <c r="N392" s="29"/>
      <c r="O392" s="29"/>
      <c r="P392" s="29"/>
    </row>
    <row r="393" customFormat="false" ht="17.5" hidden="false" customHeight="false" outlineLevel="0" collapsed="false">
      <c r="A393" s="66" t="s">
        <v>597</v>
      </c>
      <c r="B393" s="66"/>
      <c r="C393" s="66"/>
      <c r="D393" s="66"/>
      <c r="E393" s="66"/>
      <c r="F393" s="66"/>
      <c r="G393" s="66"/>
      <c r="H393" s="66"/>
      <c r="I393" s="66"/>
      <c r="J393" s="66"/>
      <c r="K393" s="65" t="n">
        <f aca="false">SUM(K394:K402)</f>
        <v>1186.0086</v>
      </c>
      <c r="L393" s="29"/>
      <c r="M393" s="29"/>
      <c r="N393" s="29"/>
      <c r="O393" s="29"/>
      <c r="P393" s="29"/>
    </row>
    <row r="394" customFormat="false" ht="17.5" hidden="false" customHeight="false" outlineLevel="0" collapsed="false">
      <c r="A394" s="23" t="s">
        <v>598</v>
      </c>
      <c r="B394" s="30" t="s">
        <v>21</v>
      </c>
      <c r="C394" s="23" t="s">
        <v>99</v>
      </c>
      <c r="D394" s="25" t="s">
        <v>100</v>
      </c>
      <c r="E394" s="23" t="s">
        <v>24</v>
      </c>
      <c r="F394" s="26" t="n">
        <f aca="false">0.42</f>
        <v>0.42</v>
      </c>
      <c r="G394" s="27" t="n">
        <f aca="false">78.35/1.23</f>
        <v>63.6991869918699</v>
      </c>
      <c r="H394" s="27" t="n">
        <f aca="false">G394*F394</f>
        <v>26.7536585365854</v>
      </c>
      <c r="I394" s="28" t="n">
        <v>1.207</v>
      </c>
      <c r="J394" s="27" t="n">
        <f aca="false">ROUND(G394*I394,2)</f>
        <v>76.88</v>
      </c>
      <c r="K394" s="27" t="n">
        <f aca="false">J394*F394</f>
        <v>32.2896</v>
      </c>
      <c r="L394" s="29"/>
      <c r="M394" s="29"/>
      <c r="N394" s="29"/>
      <c r="O394" s="29"/>
      <c r="P394" s="29"/>
    </row>
    <row r="395" customFormat="false" ht="17.5" hidden="false" customHeight="false" outlineLevel="0" collapsed="false">
      <c r="A395" s="23" t="s">
        <v>599</v>
      </c>
      <c r="B395" s="24" t="s">
        <v>57</v>
      </c>
      <c r="C395" s="23" t="n">
        <v>92800</v>
      </c>
      <c r="D395" s="25" t="s">
        <v>102</v>
      </c>
      <c r="E395" s="23" t="s">
        <v>103</v>
      </c>
      <c r="F395" s="26" t="n">
        <f aca="false">0.42</f>
        <v>0.42</v>
      </c>
      <c r="G395" s="27" t="n">
        <v>10.04</v>
      </c>
      <c r="H395" s="27" t="n">
        <f aca="false">G395*F395</f>
        <v>4.2168</v>
      </c>
      <c r="I395" s="28" t="n">
        <v>1.207</v>
      </c>
      <c r="J395" s="27" t="n">
        <f aca="false">ROUND(G395*I395,2)</f>
        <v>12.12</v>
      </c>
      <c r="K395" s="27" t="n">
        <f aca="false">J395*F395</f>
        <v>5.0904</v>
      </c>
      <c r="L395" s="29"/>
      <c r="M395" s="29"/>
      <c r="N395" s="29"/>
      <c r="O395" s="29"/>
      <c r="P395" s="29"/>
    </row>
    <row r="396" customFormat="false" ht="17.5" hidden="false" customHeight="false" outlineLevel="0" collapsed="false">
      <c r="A396" s="23" t="s">
        <v>600</v>
      </c>
      <c r="B396" s="24" t="s">
        <v>57</v>
      </c>
      <c r="C396" s="23" t="n">
        <v>92803</v>
      </c>
      <c r="D396" s="25" t="s">
        <v>105</v>
      </c>
      <c r="E396" s="23" t="s">
        <v>103</v>
      </c>
      <c r="F396" s="26" t="n">
        <f aca="false">0.42</f>
        <v>0.42</v>
      </c>
      <c r="G396" s="27" t="n">
        <v>8.88</v>
      </c>
      <c r="H396" s="27" t="n">
        <f aca="false">G396*F396</f>
        <v>3.7296</v>
      </c>
      <c r="I396" s="28" t="n">
        <v>1.207</v>
      </c>
      <c r="J396" s="27" t="n">
        <f aca="false">ROUND(G396*I396,2)</f>
        <v>10.72</v>
      </c>
      <c r="K396" s="27" t="n">
        <f aca="false">J396*F396</f>
        <v>4.5024</v>
      </c>
      <c r="L396" s="29"/>
      <c r="M396" s="29"/>
      <c r="N396" s="29"/>
      <c r="O396" s="29"/>
      <c r="P396" s="2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customFormat="false" ht="17.5" hidden="false" customHeight="false" outlineLevel="0" collapsed="false">
      <c r="A397" s="23" t="s">
        <v>601</v>
      </c>
      <c r="B397" s="24" t="s">
        <v>57</v>
      </c>
      <c r="C397" s="23" t="n">
        <v>96526</v>
      </c>
      <c r="D397" s="25" t="s">
        <v>107</v>
      </c>
      <c r="E397" s="23" t="s">
        <v>49</v>
      </c>
      <c r="F397" s="26" t="n">
        <f aca="false">0.42</f>
        <v>0.42</v>
      </c>
      <c r="G397" s="27" t="n">
        <v>266.21</v>
      </c>
      <c r="H397" s="27" t="n">
        <f aca="false">G397*F397</f>
        <v>111.8082</v>
      </c>
      <c r="I397" s="28" t="n">
        <v>1.207</v>
      </c>
      <c r="J397" s="27" t="n">
        <f aca="false">ROUND(G397*I397,2)</f>
        <v>321.32</v>
      </c>
      <c r="K397" s="27" t="n">
        <f aca="false">J397*F397</f>
        <v>134.9544</v>
      </c>
      <c r="L397" s="29"/>
      <c r="M397" s="29"/>
      <c r="N397" s="29"/>
      <c r="O397" s="29"/>
      <c r="P397" s="29"/>
    </row>
    <row r="398" customFormat="false" ht="17.5" hidden="false" customHeight="false" outlineLevel="0" collapsed="false">
      <c r="A398" s="23" t="s">
        <v>602</v>
      </c>
      <c r="B398" s="24" t="s">
        <v>57</v>
      </c>
      <c r="C398" s="23" t="n">
        <v>101619</v>
      </c>
      <c r="D398" s="25" t="s">
        <v>109</v>
      </c>
      <c r="E398" s="23" t="s">
        <v>49</v>
      </c>
      <c r="F398" s="26" t="n">
        <f aca="false">0.42</f>
        <v>0.42</v>
      </c>
      <c r="G398" s="27" t="n">
        <v>297.55</v>
      </c>
      <c r="H398" s="27" t="n">
        <f aca="false">G398*F398</f>
        <v>124.971</v>
      </c>
      <c r="I398" s="28" t="n">
        <v>1.207</v>
      </c>
      <c r="J398" s="27" t="n">
        <f aca="false">ROUND(G398*I398,2)</f>
        <v>359.14</v>
      </c>
      <c r="K398" s="27" t="n">
        <f aca="false">J398*F398</f>
        <v>150.8388</v>
      </c>
      <c r="L398" s="29"/>
      <c r="M398" s="29"/>
      <c r="N398" s="29"/>
      <c r="O398" s="29"/>
      <c r="P398" s="29"/>
    </row>
    <row r="399" customFormat="false" ht="17.5" hidden="false" customHeight="false" outlineLevel="0" collapsed="false">
      <c r="A399" s="23" t="s">
        <v>603</v>
      </c>
      <c r="B399" s="24" t="s">
        <v>57</v>
      </c>
      <c r="C399" s="23" t="n">
        <v>92800</v>
      </c>
      <c r="D399" s="25" t="s">
        <v>102</v>
      </c>
      <c r="E399" s="23" t="s">
        <v>103</v>
      </c>
      <c r="F399" s="26" t="n">
        <f aca="false">0.42</f>
        <v>0.42</v>
      </c>
      <c r="G399" s="27" t="n">
        <v>10.04</v>
      </c>
      <c r="H399" s="27" t="n">
        <f aca="false">G399*F399</f>
        <v>4.2168</v>
      </c>
      <c r="I399" s="28" t="n">
        <v>1.207</v>
      </c>
      <c r="J399" s="27" t="n">
        <f aca="false">ROUND(G399*I399,2)</f>
        <v>12.12</v>
      </c>
      <c r="K399" s="27" t="n">
        <f aca="false">J399*F399</f>
        <v>5.0904</v>
      </c>
      <c r="L399" s="29"/>
      <c r="M399" s="29"/>
      <c r="N399" s="29"/>
      <c r="O399" s="29"/>
      <c r="P399" s="29"/>
    </row>
    <row r="400" customFormat="false" ht="17.5" hidden="false" customHeight="false" outlineLevel="0" collapsed="false">
      <c r="A400" s="23" t="s">
        <v>604</v>
      </c>
      <c r="B400" s="24" t="s">
        <v>57</v>
      </c>
      <c r="C400" s="23" t="n">
        <v>92803</v>
      </c>
      <c r="D400" s="25" t="s">
        <v>105</v>
      </c>
      <c r="E400" s="23" t="s">
        <v>103</v>
      </c>
      <c r="F400" s="26" t="n">
        <f aca="false">0.42</f>
        <v>0.42</v>
      </c>
      <c r="G400" s="27" t="n">
        <v>8.88</v>
      </c>
      <c r="H400" s="27" t="n">
        <f aca="false">G400*F400</f>
        <v>3.7296</v>
      </c>
      <c r="I400" s="28" t="n">
        <v>1.207</v>
      </c>
      <c r="J400" s="27" t="n">
        <f aca="false">ROUND(G400*I400,2)</f>
        <v>10.72</v>
      </c>
      <c r="K400" s="27" t="n">
        <f aca="false">J400*F400</f>
        <v>4.5024</v>
      </c>
      <c r="L400" s="29"/>
      <c r="M400" s="29"/>
      <c r="N400" s="29"/>
      <c r="O400" s="29"/>
      <c r="P400" s="2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customFormat="false" ht="17.5" hidden="false" customHeight="false" outlineLevel="0" collapsed="false">
      <c r="A401" s="23" t="s">
        <v>605</v>
      </c>
      <c r="B401" s="24" t="s">
        <v>57</v>
      </c>
      <c r="C401" s="23" t="n">
        <v>96557</v>
      </c>
      <c r="D401" s="25" t="s">
        <v>113</v>
      </c>
      <c r="E401" s="23" t="s">
        <v>49</v>
      </c>
      <c r="F401" s="26" t="n">
        <f aca="false">0.42</f>
        <v>0.42</v>
      </c>
      <c r="G401" s="27" t="n">
        <v>619.17</v>
      </c>
      <c r="H401" s="27" t="n">
        <f aca="false">G401*F401</f>
        <v>260.0514</v>
      </c>
      <c r="I401" s="28" t="n">
        <v>1.207</v>
      </c>
      <c r="J401" s="27" t="n">
        <f aca="false">ROUND(G401*I401,2)</f>
        <v>747.34</v>
      </c>
      <c r="K401" s="27" t="n">
        <f aca="false">J401*F401</f>
        <v>313.8828</v>
      </c>
      <c r="L401" s="29"/>
      <c r="M401" s="29"/>
      <c r="N401" s="29"/>
      <c r="O401" s="29"/>
      <c r="P401" s="2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customFormat="false" ht="17.5" hidden="false" customHeight="false" outlineLevel="0" collapsed="false">
      <c r="A402" s="23" t="s">
        <v>606</v>
      </c>
      <c r="B402" s="24" t="s">
        <v>57</v>
      </c>
      <c r="C402" s="23" t="n">
        <v>101165</v>
      </c>
      <c r="D402" s="25" t="s">
        <v>115</v>
      </c>
      <c r="E402" s="23" t="s">
        <v>49</v>
      </c>
      <c r="F402" s="26" t="n">
        <f aca="false">0.42</f>
        <v>0.42</v>
      </c>
      <c r="G402" s="27" t="n">
        <v>1055.07</v>
      </c>
      <c r="H402" s="27" t="n">
        <f aca="false">G402*F402</f>
        <v>443.1294</v>
      </c>
      <c r="I402" s="28" t="n">
        <v>1.207</v>
      </c>
      <c r="J402" s="27" t="n">
        <f aca="false">ROUND(G402*I402,2)</f>
        <v>1273.47</v>
      </c>
      <c r="K402" s="27" t="n">
        <f aca="false">J402*F402</f>
        <v>534.8574</v>
      </c>
      <c r="L402" s="29"/>
      <c r="M402" s="29"/>
      <c r="N402" s="29"/>
      <c r="O402" s="29"/>
      <c r="P402" s="29"/>
    </row>
    <row r="403" customFormat="false" ht="17.5" hidden="false" customHeight="false" outlineLevel="0" collapsed="false">
      <c r="A403" s="66" t="s">
        <v>607</v>
      </c>
      <c r="B403" s="66"/>
      <c r="C403" s="66"/>
      <c r="D403" s="66"/>
      <c r="E403" s="66"/>
      <c r="F403" s="66"/>
      <c r="G403" s="66"/>
      <c r="H403" s="66"/>
      <c r="I403" s="66"/>
      <c r="J403" s="66"/>
      <c r="K403" s="65" t="n">
        <f aca="false">SUM(K404:K414)</f>
        <v>1370.5398</v>
      </c>
      <c r="L403" s="29"/>
      <c r="M403" s="29"/>
      <c r="N403" s="29"/>
      <c r="O403" s="29"/>
      <c r="P403" s="29"/>
    </row>
    <row r="404" customFormat="false" ht="21.6" hidden="false" customHeight="false" outlineLevel="0" collapsed="false">
      <c r="A404" s="23" t="s">
        <v>608</v>
      </c>
      <c r="B404" s="24" t="s">
        <v>57</v>
      </c>
      <c r="C404" s="23" t="n">
        <v>92415</v>
      </c>
      <c r="D404" s="25" t="s">
        <v>118</v>
      </c>
      <c r="E404" s="23" t="s">
        <v>19</v>
      </c>
      <c r="F404" s="26" t="n">
        <f aca="false">0.42</f>
        <v>0.42</v>
      </c>
      <c r="G404" s="27" t="n">
        <v>143.7</v>
      </c>
      <c r="H404" s="27" t="n">
        <f aca="false">G404*F404</f>
        <v>60.354</v>
      </c>
      <c r="I404" s="28" t="n">
        <v>1.207</v>
      </c>
      <c r="J404" s="27" t="n">
        <f aca="false">ROUND(G404*I404,2)</f>
        <v>173.45</v>
      </c>
      <c r="K404" s="27" t="n">
        <f aca="false">J404*F404</f>
        <v>72.849</v>
      </c>
      <c r="L404" s="29"/>
      <c r="M404" s="29"/>
      <c r="N404" s="29"/>
      <c r="O404" s="29"/>
      <c r="P404" s="2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customFormat="false" ht="17.5" hidden="false" customHeight="false" outlineLevel="0" collapsed="false">
      <c r="A405" s="23" t="s">
        <v>609</v>
      </c>
      <c r="B405" s="24" t="s">
        <v>57</v>
      </c>
      <c r="C405" s="23" t="n">
        <v>92800</v>
      </c>
      <c r="D405" s="25" t="s">
        <v>102</v>
      </c>
      <c r="E405" s="23" t="s">
        <v>103</v>
      </c>
      <c r="F405" s="26" t="n">
        <f aca="false">0.42</f>
        <v>0.42</v>
      </c>
      <c r="G405" s="27" t="n">
        <v>10.04</v>
      </c>
      <c r="H405" s="27" t="n">
        <f aca="false">G405*F405</f>
        <v>4.2168</v>
      </c>
      <c r="I405" s="28" t="n">
        <v>1.207</v>
      </c>
      <c r="J405" s="27" t="n">
        <f aca="false">ROUND(G405*I405,2)</f>
        <v>12.12</v>
      </c>
      <c r="K405" s="27" t="n">
        <f aca="false">J405*F405</f>
        <v>5.0904</v>
      </c>
      <c r="L405" s="29"/>
      <c r="M405" s="29"/>
      <c r="N405" s="29"/>
      <c r="O405" s="29"/>
      <c r="P405" s="29"/>
    </row>
    <row r="406" customFormat="false" ht="17.5" hidden="false" customHeight="false" outlineLevel="0" collapsed="false">
      <c r="A406" s="23" t="s">
        <v>610</v>
      </c>
      <c r="B406" s="24" t="s">
        <v>57</v>
      </c>
      <c r="C406" s="23" t="n">
        <v>92803</v>
      </c>
      <c r="D406" s="25" t="s">
        <v>105</v>
      </c>
      <c r="E406" s="23" t="s">
        <v>103</v>
      </c>
      <c r="F406" s="26" t="n">
        <f aca="false">0.42</f>
        <v>0.42</v>
      </c>
      <c r="G406" s="27" t="n">
        <v>8.88</v>
      </c>
      <c r="H406" s="27" t="n">
        <f aca="false">G406*F406</f>
        <v>3.7296</v>
      </c>
      <c r="I406" s="28" t="n">
        <v>1.207</v>
      </c>
      <c r="J406" s="27" t="n">
        <f aca="false">ROUND(G406*I406,2)</f>
        <v>10.72</v>
      </c>
      <c r="K406" s="27" t="n">
        <f aca="false">J406*F406</f>
        <v>4.5024</v>
      </c>
      <c r="L406" s="29"/>
      <c r="M406" s="29"/>
      <c r="N406" s="29"/>
      <c r="O406" s="29"/>
      <c r="P406" s="2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customFormat="false" ht="17.5" hidden="false" customHeight="false" outlineLevel="0" collapsed="false">
      <c r="A407" s="23" t="s">
        <v>611</v>
      </c>
      <c r="B407" s="24" t="s">
        <v>57</v>
      </c>
      <c r="C407" s="23" t="n">
        <v>103672</v>
      </c>
      <c r="D407" s="25" t="s">
        <v>122</v>
      </c>
      <c r="E407" s="23" t="s">
        <v>49</v>
      </c>
      <c r="F407" s="26" t="n">
        <f aca="false">0.42</f>
        <v>0.42</v>
      </c>
      <c r="G407" s="27" t="n">
        <v>619.17</v>
      </c>
      <c r="H407" s="27" t="n">
        <f aca="false">G407*F407</f>
        <v>260.0514</v>
      </c>
      <c r="I407" s="28" t="n">
        <v>1.207</v>
      </c>
      <c r="J407" s="27" t="n">
        <f aca="false">ROUND(G407*I407,2)</f>
        <v>747.34</v>
      </c>
      <c r="K407" s="27" t="n">
        <f aca="false">J407*F407</f>
        <v>313.8828</v>
      </c>
      <c r="L407" s="29"/>
      <c r="M407" s="29"/>
      <c r="N407" s="29"/>
      <c r="O407" s="29"/>
      <c r="P407" s="29"/>
    </row>
    <row r="408" customFormat="false" ht="21.6" hidden="false" customHeight="false" outlineLevel="0" collapsed="false">
      <c r="A408" s="23" t="s">
        <v>612</v>
      </c>
      <c r="B408" s="24" t="s">
        <v>57</v>
      </c>
      <c r="C408" s="23" t="n">
        <v>103324</v>
      </c>
      <c r="D408" s="25" t="s">
        <v>124</v>
      </c>
      <c r="E408" s="23" t="s">
        <v>19</v>
      </c>
      <c r="F408" s="26" t="n">
        <f aca="false">0.42</f>
        <v>0.42</v>
      </c>
      <c r="G408" s="27" t="n">
        <v>1055.07</v>
      </c>
      <c r="H408" s="27" t="n">
        <f aca="false">G408*F408</f>
        <v>443.1294</v>
      </c>
      <c r="I408" s="28" t="n">
        <v>1.207</v>
      </c>
      <c r="J408" s="27" t="n">
        <f aca="false">ROUND(G408*I408,2)</f>
        <v>1273.47</v>
      </c>
      <c r="K408" s="27" t="n">
        <f aca="false">J408*F408</f>
        <v>534.8574</v>
      </c>
      <c r="L408" s="29"/>
      <c r="M408" s="29"/>
      <c r="N408" s="29"/>
      <c r="O408" s="29"/>
      <c r="P408" s="29"/>
      <c r="XEW408" s="46"/>
      <c r="XEX408" s="46"/>
      <c r="XEY408" s="46"/>
      <c r="XEZ408" s="46"/>
      <c r="XFA408" s="46"/>
      <c r="XFB408" s="46"/>
      <c r="XFC408" s="46"/>
      <c r="XFD408" s="46"/>
    </row>
    <row r="409" customFormat="false" ht="17.5" hidden="false" customHeight="false" outlineLevel="0" collapsed="false">
      <c r="A409" s="23" t="s">
        <v>613</v>
      </c>
      <c r="B409" s="30" t="s">
        <v>21</v>
      </c>
      <c r="C409" s="54" t="s">
        <v>126</v>
      </c>
      <c r="D409" s="25" t="s">
        <v>127</v>
      </c>
      <c r="E409" s="23" t="s">
        <v>24</v>
      </c>
      <c r="F409" s="26" t="n">
        <f aca="false">0.42</f>
        <v>0.42</v>
      </c>
      <c r="G409" s="27" t="n">
        <f aca="false">43.73/1.23</f>
        <v>35.5528455284553</v>
      </c>
      <c r="H409" s="27" t="n">
        <f aca="false">G409*F409</f>
        <v>14.9321951219512</v>
      </c>
      <c r="I409" s="28" t="n">
        <v>1.207</v>
      </c>
      <c r="J409" s="27" t="n">
        <f aca="false">ROUND(G409*I409,2)</f>
        <v>42.91</v>
      </c>
      <c r="K409" s="27" t="n">
        <f aca="false">J409*F409</f>
        <v>18.0222</v>
      </c>
      <c r="L409" s="29"/>
      <c r="M409" s="29"/>
      <c r="N409" s="29"/>
      <c r="O409" s="29"/>
      <c r="P409" s="29"/>
    </row>
    <row r="410" customFormat="false" ht="21.6" hidden="false" customHeight="false" outlineLevel="0" collapsed="false">
      <c r="A410" s="23" t="s">
        <v>614</v>
      </c>
      <c r="B410" s="24" t="s">
        <v>57</v>
      </c>
      <c r="C410" s="23" t="n">
        <v>92451</v>
      </c>
      <c r="D410" s="25" t="s">
        <v>129</v>
      </c>
      <c r="E410" s="23" t="s">
        <v>19</v>
      </c>
      <c r="F410" s="26" t="n">
        <f aca="false">0.42</f>
        <v>0.42</v>
      </c>
      <c r="G410" s="27" t="n">
        <v>185.45</v>
      </c>
      <c r="H410" s="27" t="n">
        <f aca="false">G410*F410</f>
        <v>77.889</v>
      </c>
      <c r="I410" s="28" t="n">
        <v>1.207</v>
      </c>
      <c r="J410" s="27" t="n">
        <f aca="false">ROUND(G410*I410,2)</f>
        <v>223.84</v>
      </c>
      <c r="K410" s="27" t="n">
        <f aca="false">J410*F410</f>
        <v>94.0128</v>
      </c>
      <c r="L410" s="29"/>
      <c r="M410" s="29"/>
      <c r="N410" s="29"/>
      <c r="O410" s="29"/>
      <c r="P410" s="29"/>
    </row>
    <row r="411" customFormat="false" ht="17.5" hidden="false" customHeight="false" outlineLevel="0" collapsed="false">
      <c r="A411" s="23" t="s">
        <v>615</v>
      </c>
      <c r="B411" s="24" t="s">
        <v>57</v>
      </c>
      <c r="C411" s="23" t="n">
        <v>92800</v>
      </c>
      <c r="D411" s="25" t="s">
        <v>102</v>
      </c>
      <c r="E411" s="23" t="s">
        <v>103</v>
      </c>
      <c r="F411" s="26" t="n">
        <f aca="false">0.42</f>
        <v>0.42</v>
      </c>
      <c r="G411" s="27" t="n">
        <v>10.04</v>
      </c>
      <c r="H411" s="27" t="n">
        <f aca="false">G411*F411</f>
        <v>4.2168</v>
      </c>
      <c r="I411" s="28" t="n">
        <v>1.207</v>
      </c>
      <c r="J411" s="27" t="n">
        <f aca="false">ROUND(G411*I411,2)</f>
        <v>12.12</v>
      </c>
      <c r="K411" s="27" t="n">
        <f aca="false">J411*F411</f>
        <v>5.0904</v>
      </c>
      <c r="L411" s="29"/>
      <c r="M411" s="29"/>
      <c r="N411" s="29"/>
      <c r="O411" s="29"/>
      <c r="P411" s="29"/>
    </row>
    <row r="412" customFormat="false" ht="17.5" hidden="false" customHeight="false" outlineLevel="0" collapsed="false">
      <c r="A412" s="23" t="s">
        <v>616</v>
      </c>
      <c r="B412" s="24" t="s">
        <v>57</v>
      </c>
      <c r="C412" s="23" t="n">
        <v>92803</v>
      </c>
      <c r="D412" s="25" t="s">
        <v>105</v>
      </c>
      <c r="E412" s="23" t="s">
        <v>103</v>
      </c>
      <c r="F412" s="26" t="n">
        <f aca="false">0.42</f>
        <v>0.42</v>
      </c>
      <c r="G412" s="27" t="n">
        <v>8.88</v>
      </c>
      <c r="H412" s="27" t="n">
        <f aca="false">G412*F412</f>
        <v>3.7296</v>
      </c>
      <c r="I412" s="28" t="n">
        <v>1.207</v>
      </c>
      <c r="J412" s="27" t="n">
        <f aca="false">ROUND(G412*I412,2)</f>
        <v>10.72</v>
      </c>
      <c r="K412" s="27" t="n">
        <f aca="false">J412*F412</f>
        <v>4.5024</v>
      </c>
      <c r="L412" s="29"/>
      <c r="M412" s="29"/>
      <c r="N412" s="29"/>
      <c r="O412" s="29"/>
      <c r="P412" s="2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customFormat="false" ht="17.5" hidden="false" customHeight="false" outlineLevel="0" collapsed="false">
      <c r="A413" s="23" t="s">
        <v>617</v>
      </c>
      <c r="B413" s="24" t="s">
        <v>57</v>
      </c>
      <c r="C413" s="23" t="n">
        <v>92804</v>
      </c>
      <c r="D413" s="25" t="s">
        <v>133</v>
      </c>
      <c r="E413" s="23" t="s">
        <v>103</v>
      </c>
      <c r="F413" s="26" t="n">
        <f aca="false">0.42</f>
        <v>0.42</v>
      </c>
      <c r="G413" s="27" t="n">
        <v>7.59</v>
      </c>
      <c r="H413" s="27" t="n">
        <f aca="false">G413*F413</f>
        <v>3.1878</v>
      </c>
      <c r="I413" s="28" t="n">
        <v>1.207</v>
      </c>
      <c r="J413" s="27" t="n">
        <f aca="false">ROUND(G413*I413,2)</f>
        <v>9.16</v>
      </c>
      <c r="K413" s="27" t="n">
        <f aca="false">J413*F413</f>
        <v>3.8472</v>
      </c>
      <c r="L413" s="29"/>
      <c r="M413" s="29"/>
      <c r="N413" s="29"/>
      <c r="O413" s="29"/>
      <c r="P413" s="2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customFormat="false" ht="17.5" hidden="false" customHeight="false" outlineLevel="0" collapsed="false">
      <c r="A414" s="23" t="s">
        <v>618</v>
      </c>
      <c r="B414" s="24" t="s">
        <v>57</v>
      </c>
      <c r="C414" s="23" t="n">
        <v>103675</v>
      </c>
      <c r="D414" s="25" t="s">
        <v>135</v>
      </c>
      <c r="E414" s="23" t="s">
        <v>49</v>
      </c>
      <c r="F414" s="26" t="n">
        <f aca="false">0.42</f>
        <v>0.42</v>
      </c>
      <c r="G414" s="27" t="n">
        <v>619.17</v>
      </c>
      <c r="H414" s="27" t="n">
        <f aca="false">G414*F414</f>
        <v>260.0514</v>
      </c>
      <c r="I414" s="28" t="n">
        <v>1.207</v>
      </c>
      <c r="J414" s="27" t="n">
        <f aca="false">ROUND(G414*I414,2)</f>
        <v>747.34</v>
      </c>
      <c r="K414" s="27" t="n">
        <f aca="false">J414*F414</f>
        <v>313.8828</v>
      </c>
      <c r="L414" s="29"/>
      <c r="M414" s="29"/>
      <c r="N414" s="29"/>
      <c r="O414" s="29"/>
      <c r="P414" s="29"/>
    </row>
    <row r="415" customFormat="false" ht="17.5" hidden="false" customHeight="false" outlineLevel="0" collapsed="false">
      <c r="A415" s="66" t="s">
        <v>155</v>
      </c>
      <c r="B415" s="66"/>
      <c r="C415" s="66"/>
      <c r="D415" s="66"/>
      <c r="E415" s="66"/>
      <c r="F415" s="66"/>
      <c r="G415" s="66"/>
      <c r="H415" s="66"/>
      <c r="I415" s="66"/>
      <c r="J415" s="66"/>
      <c r="K415" s="65" t="n">
        <f aca="false">SUM(K416:K421)</f>
        <v>23097.2885</v>
      </c>
      <c r="L415" s="29"/>
      <c r="M415" s="29"/>
      <c r="N415" s="29"/>
      <c r="O415" s="29"/>
      <c r="P415" s="29"/>
    </row>
    <row r="416" customFormat="false" ht="17.5" hidden="false" customHeight="false" outlineLevel="0" collapsed="false">
      <c r="A416" s="23" t="s">
        <v>619</v>
      </c>
      <c r="B416" s="31" t="s">
        <v>26</v>
      </c>
      <c r="C416" s="23" t="s">
        <v>620</v>
      </c>
      <c r="D416" s="25" t="s">
        <v>621</v>
      </c>
      <c r="E416" s="23" t="s">
        <v>19</v>
      </c>
      <c r="F416" s="26" t="n">
        <f aca="false">'MEMORIAL DE CALCULO'!F780</f>
        <v>293.15</v>
      </c>
      <c r="G416" s="27" t="n">
        <v>3.21</v>
      </c>
      <c r="H416" s="27" t="n">
        <f aca="false">G416*F416</f>
        <v>941.0115</v>
      </c>
      <c r="I416" s="28" t="n">
        <v>1.207</v>
      </c>
      <c r="J416" s="27" t="n">
        <f aca="false">ROUND(G416*I416,2)</f>
        <v>3.87</v>
      </c>
      <c r="K416" s="27" t="n">
        <f aca="false">J416*F416</f>
        <v>1134.4905</v>
      </c>
      <c r="L416" s="29"/>
      <c r="M416" s="29"/>
      <c r="N416" s="29"/>
      <c r="O416" s="29"/>
      <c r="P416" s="2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customFormat="false" ht="17.5" hidden="false" customHeight="false" outlineLevel="0" collapsed="false">
      <c r="A417" s="23" t="s">
        <v>622</v>
      </c>
      <c r="B417" s="24" t="s">
        <v>57</v>
      </c>
      <c r="C417" s="23" t="n">
        <v>87879</v>
      </c>
      <c r="D417" s="25" t="s">
        <v>157</v>
      </c>
      <c r="E417" s="23" t="s">
        <v>19</v>
      </c>
      <c r="F417" s="26" t="n">
        <f aca="false">'MEMORIAL DE CALCULO'!F806</f>
        <v>293.15</v>
      </c>
      <c r="G417" s="27" t="n">
        <v>4.76</v>
      </c>
      <c r="H417" s="27" t="n">
        <f aca="false">G417*F417</f>
        <v>1395.394</v>
      </c>
      <c r="I417" s="28" t="n">
        <v>1.207</v>
      </c>
      <c r="J417" s="27" t="n">
        <f aca="false">ROUND(G417*I417,2)</f>
        <v>5.75</v>
      </c>
      <c r="K417" s="27" t="n">
        <f aca="false">J417*F417</f>
        <v>1685.6125</v>
      </c>
      <c r="L417" s="29"/>
      <c r="M417" s="29"/>
      <c r="N417" s="29"/>
      <c r="O417" s="29"/>
      <c r="P417" s="2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customFormat="false" ht="17.5" hidden="false" customHeight="false" outlineLevel="0" collapsed="false">
      <c r="A418" s="23" t="s">
        <v>623</v>
      </c>
      <c r="B418" s="31" t="s">
        <v>26</v>
      </c>
      <c r="C418" s="23" t="s">
        <v>159</v>
      </c>
      <c r="D418" s="25" t="s">
        <v>160</v>
      </c>
      <c r="E418" s="23" t="s">
        <v>19</v>
      </c>
      <c r="F418" s="26" t="n">
        <f aca="false">'MEMORIAL DE CALCULO'!F807</f>
        <v>293.15</v>
      </c>
      <c r="G418" s="27" t="n">
        <v>23.71</v>
      </c>
      <c r="H418" s="27" t="n">
        <f aca="false">G418*F418</f>
        <v>6950.5865</v>
      </c>
      <c r="I418" s="28" t="n">
        <v>1.207</v>
      </c>
      <c r="J418" s="27" t="n">
        <f aca="false">ROUND(G418*I418,2)</f>
        <v>28.62</v>
      </c>
      <c r="K418" s="27" t="n">
        <f aca="false">J418*F418</f>
        <v>8389.953</v>
      </c>
      <c r="L418" s="29"/>
      <c r="M418" s="29"/>
      <c r="N418" s="29"/>
      <c r="O418" s="29"/>
      <c r="P418" s="2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customFormat="false" ht="17.5" hidden="false" customHeight="false" outlineLevel="0" collapsed="false">
      <c r="A419" s="23" t="s">
        <v>624</v>
      </c>
      <c r="B419" s="31" t="s">
        <v>26</v>
      </c>
      <c r="C419" s="23" t="s">
        <v>162</v>
      </c>
      <c r="D419" s="25" t="s">
        <v>163</v>
      </c>
      <c r="E419" s="23" t="s">
        <v>19</v>
      </c>
      <c r="F419" s="26" t="n">
        <f aca="false">'MEMORIAL DE CALCULO'!F808</f>
        <v>293.15</v>
      </c>
      <c r="G419" s="27" t="n">
        <v>13.85</v>
      </c>
      <c r="H419" s="27" t="n">
        <f aca="false">G419*F419</f>
        <v>4060.1275</v>
      </c>
      <c r="I419" s="28" t="n">
        <v>1.207</v>
      </c>
      <c r="J419" s="27" t="n">
        <f aca="false">ROUND(G419*I419,2)</f>
        <v>16.72</v>
      </c>
      <c r="K419" s="27" t="n">
        <f aca="false">J419*F419</f>
        <v>4901.468</v>
      </c>
      <c r="L419" s="29"/>
      <c r="M419" s="29"/>
      <c r="N419" s="29"/>
      <c r="O419" s="29"/>
      <c r="P419" s="2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customFormat="false" ht="17.5" hidden="false" customHeight="false" outlineLevel="0" collapsed="false">
      <c r="A420" s="23" t="s">
        <v>625</v>
      </c>
      <c r="B420" s="24" t="s">
        <v>57</v>
      </c>
      <c r="C420" s="23" t="n">
        <v>88411</v>
      </c>
      <c r="D420" s="25" t="s">
        <v>168</v>
      </c>
      <c r="E420" s="23" t="s">
        <v>19</v>
      </c>
      <c r="F420" s="26" t="n">
        <f aca="false">'MEMORIAL DE CALCULO'!F809</f>
        <v>293.15</v>
      </c>
      <c r="G420" s="27" t="n">
        <v>5.34</v>
      </c>
      <c r="H420" s="27" t="n">
        <f aca="false">G420*F420</f>
        <v>1565.421</v>
      </c>
      <c r="I420" s="28" t="n">
        <v>1.207</v>
      </c>
      <c r="J420" s="27" t="n">
        <f aca="false">ROUND(G420*I420,2)</f>
        <v>6.45</v>
      </c>
      <c r="K420" s="27" t="n">
        <f aca="false">J420*F420</f>
        <v>1890.8175</v>
      </c>
    </row>
    <row r="421" customFormat="false" ht="17.5" hidden="false" customHeight="false" outlineLevel="0" collapsed="false">
      <c r="A421" s="23" t="s">
        <v>626</v>
      </c>
      <c r="B421" s="24" t="s">
        <v>57</v>
      </c>
      <c r="C421" s="23" t="n">
        <v>88489</v>
      </c>
      <c r="D421" s="25" t="s">
        <v>172</v>
      </c>
      <c r="E421" s="23" t="s">
        <v>19</v>
      </c>
      <c r="F421" s="26" t="n">
        <f aca="false">'MEMORIAL DE CALCULO'!F810</f>
        <v>293.15</v>
      </c>
      <c r="G421" s="27" t="n">
        <v>14.4</v>
      </c>
      <c r="H421" s="27" t="n">
        <f aca="false">G421*F421</f>
        <v>4221.36</v>
      </c>
      <c r="I421" s="28" t="n">
        <v>1.207</v>
      </c>
      <c r="J421" s="27" t="n">
        <f aca="false">ROUND(G421*I421,2)</f>
        <v>17.38</v>
      </c>
      <c r="K421" s="27" t="n">
        <f aca="false">J421*F421</f>
        <v>5094.947</v>
      </c>
      <c r="L421" s="29"/>
      <c r="M421" s="29"/>
      <c r="N421" s="29"/>
      <c r="O421" s="29"/>
      <c r="P421" s="2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customFormat="false" ht="17.5" hidden="false" customHeight="false" outlineLevel="0" collapsed="false">
      <c r="A422" s="66" t="s">
        <v>139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5" t="n">
        <f aca="false">SUM(K423:K433)</f>
        <v>60684.41</v>
      </c>
      <c r="L422" s="29"/>
      <c r="M422" s="29"/>
      <c r="N422" s="29"/>
      <c r="O422" s="29"/>
      <c r="P422" s="29"/>
    </row>
    <row r="423" customFormat="false" ht="17.5" hidden="false" customHeight="false" outlineLevel="0" collapsed="false">
      <c r="A423" s="23" t="s">
        <v>627</v>
      </c>
      <c r="B423" s="31" t="s">
        <v>26</v>
      </c>
      <c r="C423" s="23" t="s">
        <v>628</v>
      </c>
      <c r="D423" s="25" t="s">
        <v>629</v>
      </c>
      <c r="E423" s="23" t="s">
        <v>19</v>
      </c>
      <c r="F423" s="26" t="n">
        <v>120</v>
      </c>
      <c r="G423" s="27" t="n">
        <v>17.14</v>
      </c>
      <c r="H423" s="27" t="n">
        <f aca="false">G423*F423</f>
        <v>2056.8</v>
      </c>
      <c r="I423" s="28" t="n">
        <v>1.207</v>
      </c>
      <c r="J423" s="27" t="n">
        <f aca="false">ROUND(G423*I423,2)</f>
        <v>20.69</v>
      </c>
      <c r="K423" s="27" t="n">
        <f aca="false">J423*F423</f>
        <v>2482.8</v>
      </c>
      <c r="L423" s="29"/>
      <c r="M423" s="29"/>
      <c r="N423" s="29"/>
      <c r="O423" s="29"/>
      <c r="P423" s="29"/>
    </row>
    <row r="424" customFormat="false" ht="17.5" hidden="false" customHeight="false" outlineLevel="0" collapsed="false">
      <c r="A424" s="23" t="s">
        <v>630</v>
      </c>
      <c r="B424" s="31" t="s">
        <v>26</v>
      </c>
      <c r="C424" s="23" t="s">
        <v>631</v>
      </c>
      <c r="D424" s="25" t="s">
        <v>632</v>
      </c>
      <c r="E424" s="23" t="s">
        <v>19</v>
      </c>
      <c r="F424" s="26" t="n">
        <v>120</v>
      </c>
      <c r="G424" s="27" t="n">
        <v>26.14</v>
      </c>
      <c r="H424" s="27" t="n">
        <f aca="false">G424*F424</f>
        <v>3136.8</v>
      </c>
      <c r="I424" s="28" t="n">
        <v>1.207</v>
      </c>
      <c r="J424" s="27" t="n">
        <f aca="false">ROUND(G424*I424,2)</f>
        <v>31.55</v>
      </c>
      <c r="K424" s="27" t="n">
        <f aca="false">J424*F424</f>
        <v>3786</v>
      </c>
      <c r="L424" s="29"/>
      <c r="M424" s="29"/>
      <c r="N424" s="29"/>
      <c r="O424" s="29"/>
      <c r="P424" s="29"/>
    </row>
    <row r="425" customFormat="false" ht="17.5" hidden="false" customHeight="false" outlineLevel="0" collapsed="false">
      <c r="A425" s="23" t="s">
        <v>633</v>
      </c>
      <c r="B425" s="30" t="s">
        <v>21</v>
      </c>
      <c r="C425" s="23" t="s">
        <v>254</v>
      </c>
      <c r="D425" s="25" t="s">
        <v>255</v>
      </c>
      <c r="E425" s="23" t="s">
        <v>575</v>
      </c>
      <c r="F425" s="26" t="n">
        <f aca="false">SUM(F423*0.1)+(F424*0.2)</f>
        <v>36</v>
      </c>
      <c r="G425" s="40" t="n">
        <f aca="false">116/1.23</f>
        <v>94.3089430894309</v>
      </c>
      <c r="H425" s="27" t="n">
        <f aca="false">G425*F425</f>
        <v>3395.12195121951</v>
      </c>
      <c r="I425" s="28" t="n">
        <v>1.207</v>
      </c>
      <c r="J425" s="27" t="n">
        <f aca="false">ROUND(G425*I425,2)</f>
        <v>113.83</v>
      </c>
      <c r="K425" s="40" t="n">
        <f aca="false">J425*F425</f>
        <v>4097.88</v>
      </c>
    </row>
    <row r="426" customFormat="false" ht="17.5" hidden="false" customHeight="false" outlineLevel="0" collapsed="false">
      <c r="A426" s="23" t="s">
        <v>634</v>
      </c>
      <c r="B426" s="30" t="s">
        <v>21</v>
      </c>
      <c r="C426" s="23" t="s">
        <v>577</v>
      </c>
      <c r="D426" s="25" t="s">
        <v>578</v>
      </c>
      <c r="E426" s="23" t="s">
        <v>84</v>
      </c>
      <c r="F426" s="26" t="n">
        <f aca="false">F425*30</f>
        <v>1080</v>
      </c>
      <c r="G426" s="40" t="n">
        <f aca="false">2.52/1.23</f>
        <v>2.04878048780488</v>
      </c>
      <c r="H426" s="27" t="n">
        <f aca="false">G426*F426</f>
        <v>2212.68292682927</v>
      </c>
      <c r="I426" s="28" t="n">
        <v>1.207</v>
      </c>
      <c r="J426" s="27" t="n">
        <f aca="false">ROUND(G426*I426,2)</f>
        <v>2.47</v>
      </c>
      <c r="K426" s="40" t="n">
        <f aca="false">J426*F426</f>
        <v>2667.6</v>
      </c>
      <c r="XEW426" s="14"/>
      <c r="XEX426" s="14"/>
      <c r="XEY426" s="14"/>
      <c r="XEZ426" s="14"/>
      <c r="XFA426" s="14"/>
      <c r="XFB426" s="14"/>
      <c r="XFC426" s="14"/>
      <c r="XFD426" s="14"/>
    </row>
    <row r="427" customFormat="false" ht="17.5" hidden="false" customHeight="false" outlineLevel="0" collapsed="false">
      <c r="A427" s="23" t="s">
        <v>635</v>
      </c>
      <c r="B427" s="24" t="s">
        <v>57</v>
      </c>
      <c r="C427" s="23" t="n">
        <v>100360</v>
      </c>
      <c r="D427" s="25" t="s">
        <v>636</v>
      </c>
      <c r="E427" s="23" t="s">
        <v>39</v>
      </c>
      <c r="F427" s="26" t="n">
        <v>4</v>
      </c>
      <c r="G427" s="27" t="n">
        <v>1955.28</v>
      </c>
      <c r="H427" s="27" t="n">
        <f aca="false">G427*F427</f>
        <v>7821.12</v>
      </c>
      <c r="I427" s="28" t="n">
        <v>1.207</v>
      </c>
      <c r="J427" s="27" t="n">
        <f aca="false">ROUND(G427*I427,2)</f>
        <v>2360.02</v>
      </c>
      <c r="K427" s="27" t="n">
        <f aca="false">J427*F427</f>
        <v>9440.08</v>
      </c>
      <c r="L427" s="29"/>
      <c r="M427" s="29"/>
      <c r="N427" s="29"/>
      <c r="O427" s="29"/>
      <c r="P427" s="29"/>
    </row>
    <row r="428" customFormat="false" ht="21.6" hidden="false" customHeight="false" outlineLevel="0" collapsed="false">
      <c r="A428" s="23" t="s">
        <v>637</v>
      </c>
      <c r="B428" s="24" t="s">
        <v>57</v>
      </c>
      <c r="C428" s="23" t="n">
        <v>92539</v>
      </c>
      <c r="D428" s="25" t="s">
        <v>638</v>
      </c>
      <c r="E428" s="23" t="s">
        <v>19</v>
      </c>
      <c r="F428" s="26" t="n">
        <v>120</v>
      </c>
      <c r="G428" s="27" t="n">
        <v>89.54</v>
      </c>
      <c r="H428" s="27" t="n">
        <f aca="false">G428*F428</f>
        <v>10744.8</v>
      </c>
      <c r="I428" s="28" t="n">
        <v>1.207</v>
      </c>
      <c r="J428" s="27" t="n">
        <f aca="false">ROUND(G428*I428,2)</f>
        <v>108.07</v>
      </c>
      <c r="K428" s="27" t="n">
        <f aca="false">J428*F428</f>
        <v>12968.4</v>
      </c>
      <c r="L428" s="29"/>
      <c r="M428" s="29"/>
      <c r="N428" s="29"/>
      <c r="O428" s="29"/>
      <c r="P428" s="29"/>
    </row>
    <row r="429" customFormat="false" ht="17.5" hidden="false" customHeight="false" outlineLevel="0" collapsed="false">
      <c r="A429" s="23" t="s">
        <v>639</v>
      </c>
      <c r="B429" s="24" t="s">
        <v>57</v>
      </c>
      <c r="C429" s="23" t="n">
        <v>94442</v>
      </c>
      <c r="D429" s="25" t="s">
        <v>640</v>
      </c>
      <c r="E429" s="23" t="s">
        <v>19</v>
      </c>
      <c r="F429" s="26" t="n">
        <v>120</v>
      </c>
      <c r="G429" s="27" t="n">
        <v>64.17</v>
      </c>
      <c r="H429" s="27" t="n">
        <f aca="false">G429*F429</f>
        <v>7700.4</v>
      </c>
      <c r="I429" s="28" t="n">
        <v>1.207</v>
      </c>
      <c r="J429" s="27" t="n">
        <f aca="false">ROUND(G429*I429,2)</f>
        <v>77.45</v>
      </c>
      <c r="K429" s="27" t="n">
        <f aca="false">J429*F429</f>
        <v>9294</v>
      </c>
      <c r="L429" s="56"/>
      <c r="M429" s="56"/>
      <c r="N429" s="56"/>
      <c r="O429" s="56"/>
      <c r="P429" s="56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</row>
    <row r="430" s="46" customFormat="true" ht="17.5" hidden="false" customHeight="false" outlineLevel="0" collapsed="false">
      <c r="A430" s="23" t="s">
        <v>641</v>
      </c>
      <c r="B430" s="30" t="s">
        <v>21</v>
      </c>
      <c r="C430" s="23" t="s">
        <v>148</v>
      </c>
      <c r="D430" s="25" t="s">
        <v>149</v>
      </c>
      <c r="E430" s="23" t="s">
        <v>24</v>
      </c>
      <c r="F430" s="26" t="n">
        <v>70</v>
      </c>
      <c r="G430" s="27" t="n">
        <f aca="false">133.27/1.23</f>
        <v>108.349593495935</v>
      </c>
      <c r="H430" s="27" t="n">
        <f aca="false">G430*F430</f>
        <v>7584.47154471545</v>
      </c>
      <c r="I430" s="28" t="n">
        <v>1.207</v>
      </c>
      <c r="J430" s="27" t="n">
        <f aca="false">ROUND(G430*I430,2)</f>
        <v>130.78</v>
      </c>
      <c r="K430" s="27" t="n">
        <f aca="false">J430*F430</f>
        <v>9154.6</v>
      </c>
      <c r="L430" s="29"/>
      <c r="M430" s="29"/>
      <c r="N430" s="29"/>
      <c r="O430" s="29"/>
      <c r="P430" s="29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XEW430" s="14"/>
      <c r="XEX430" s="14"/>
      <c r="XEY430" s="14"/>
      <c r="XEZ430" s="14"/>
      <c r="XFA430" s="14"/>
      <c r="XFB430" s="14"/>
      <c r="XFC430" s="14"/>
      <c r="XFD430" s="14"/>
    </row>
    <row r="431" customFormat="false" ht="17.5" hidden="false" customHeight="false" outlineLevel="0" collapsed="false">
      <c r="A431" s="23" t="s">
        <v>642</v>
      </c>
      <c r="B431" s="30" t="s">
        <v>21</v>
      </c>
      <c r="C431" s="23" t="s">
        <v>151</v>
      </c>
      <c r="D431" s="25" t="s">
        <v>152</v>
      </c>
      <c r="E431" s="23" t="s">
        <v>24</v>
      </c>
      <c r="F431" s="26" t="n">
        <f aca="false">15*3</f>
        <v>45</v>
      </c>
      <c r="G431" s="27" t="n">
        <f aca="false">104.92/1.23</f>
        <v>85.3008130081301</v>
      </c>
      <c r="H431" s="27" t="n">
        <f aca="false">G431*F431</f>
        <v>3838.53658536585</v>
      </c>
      <c r="I431" s="28" t="n">
        <v>1.207</v>
      </c>
      <c r="J431" s="27" t="n">
        <f aca="false">ROUND(G431*I431,2)</f>
        <v>102.96</v>
      </c>
      <c r="K431" s="27" t="n">
        <f aca="false">J431*F431</f>
        <v>4633.2</v>
      </c>
      <c r="L431" s="29"/>
      <c r="M431" s="29"/>
      <c r="N431" s="29"/>
      <c r="O431" s="29"/>
      <c r="P431" s="29"/>
    </row>
    <row r="432" customFormat="false" ht="21.6" hidden="false" customHeight="false" outlineLevel="0" collapsed="false">
      <c r="A432" s="23" t="s">
        <v>643</v>
      </c>
      <c r="B432" s="24" t="s">
        <v>57</v>
      </c>
      <c r="C432" s="23" t="n">
        <v>94231</v>
      </c>
      <c r="D432" s="25" t="s">
        <v>154</v>
      </c>
      <c r="E432" s="23" t="s">
        <v>24</v>
      </c>
      <c r="F432" s="26" t="n">
        <v>30</v>
      </c>
      <c r="G432" s="27" t="n">
        <v>53.68</v>
      </c>
      <c r="H432" s="27" t="n">
        <f aca="false">G432*F432</f>
        <v>1610.4</v>
      </c>
      <c r="I432" s="28" t="n">
        <v>1.207</v>
      </c>
      <c r="J432" s="27" t="n">
        <f aca="false">ROUND(G432*I432,2)</f>
        <v>64.79</v>
      </c>
      <c r="K432" s="27" t="n">
        <f aca="false">J432*F432</f>
        <v>1943.7</v>
      </c>
      <c r="L432" s="29"/>
      <c r="M432" s="29"/>
      <c r="N432" s="29"/>
      <c r="O432" s="29"/>
      <c r="P432" s="29"/>
    </row>
    <row r="433" customFormat="false" ht="17.5" hidden="false" customHeight="false" outlineLevel="0" collapsed="false">
      <c r="A433" s="23" t="s">
        <v>644</v>
      </c>
      <c r="B433" s="30" t="s">
        <v>21</v>
      </c>
      <c r="C433" s="23" t="s">
        <v>645</v>
      </c>
      <c r="D433" s="25" t="s">
        <v>646</v>
      </c>
      <c r="E433" s="23" t="s">
        <v>24</v>
      </c>
      <c r="F433" s="26" t="n">
        <f aca="false">5*3</f>
        <v>15</v>
      </c>
      <c r="G433" s="27" t="n">
        <f aca="false">14.68/1.23</f>
        <v>11.9349593495935</v>
      </c>
      <c r="H433" s="27" t="n">
        <f aca="false">G433*F433</f>
        <v>179.024390243902</v>
      </c>
      <c r="I433" s="28" t="n">
        <v>1.207</v>
      </c>
      <c r="J433" s="27" t="n">
        <f aca="false">ROUND(G433*I433,2)</f>
        <v>14.41</v>
      </c>
      <c r="K433" s="27" t="n">
        <f aca="false">J433*F433</f>
        <v>216.15</v>
      </c>
      <c r="L433" s="29"/>
      <c r="M433" s="29"/>
      <c r="N433" s="29"/>
      <c r="O433" s="29"/>
      <c r="P433" s="29"/>
    </row>
    <row r="434" customFormat="false" ht="17.5" hidden="false" customHeight="false" outlineLevel="0" collapsed="false">
      <c r="A434" s="66" t="s">
        <v>647</v>
      </c>
      <c r="B434" s="66"/>
      <c r="C434" s="66"/>
      <c r="D434" s="66"/>
      <c r="E434" s="66"/>
      <c r="F434" s="66"/>
      <c r="G434" s="66"/>
      <c r="H434" s="66"/>
      <c r="I434" s="66"/>
      <c r="J434" s="66"/>
      <c r="K434" s="65" t="n">
        <f aca="false">SUM(K435:K440)</f>
        <v>23097.2885</v>
      </c>
      <c r="L434" s="29"/>
      <c r="M434" s="29"/>
      <c r="N434" s="29"/>
      <c r="O434" s="29"/>
      <c r="P434" s="29"/>
    </row>
    <row r="435" customFormat="false" ht="17.5" hidden="false" customHeight="false" outlineLevel="0" collapsed="false">
      <c r="A435" s="23" t="s">
        <v>648</v>
      </c>
      <c r="B435" s="31" t="s">
        <v>26</v>
      </c>
      <c r="C435" s="23" t="s">
        <v>620</v>
      </c>
      <c r="D435" s="25" t="s">
        <v>621</v>
      </c>
      <c r="E435" s="23" t="s">
        <v>19</v>
      </c>
      <c r="F435" s="26" t="n">
        <f aca="false">'MEMORIAL DE CALCULO'!F780</f>
        <v>293.15</v>
      </c>
      <c r="G435" s="27" t="n">
        <v>3.21</v>
      </c>
      <c r="H435" s="27" t="n">
        <f aca="false">G435*F435</f>
        <v>941.0115</v>
      </c>
      <c r="I435" s="28" t="n">
        <v>1.207</v>
      </c>
      <c r="J435" s="27" t="n">
        <f aca="false">ROUND(G435*I435,2)</f>
        <v>3.87</v>
      </c>
      <c r="K435" s="27" t="n">
        <f aca="false">J435*F435</f>
        <v>1134.4905</v>
      </c>
      <c r="L435" s="29"/>
      <c r="M435" s="29"/>
      <c r="N435" s="29"/>
      <c r="O435" s="29"/>
      <c r="P435" s="2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customFormat="false" ht="17.5" hidden="false" customHeight="false" outlineLevel="0" collapsed="false">
      <c r="A436" s="23" t="s">
        <v>649</v>
      </c>
      <c r="B436" s="24" t="s">
        <v>57</v>
      </c>
      <c r="C436" s="23" t="n">
        <v>87879</v>
      </c>
      <c r="D436" s="25" t="s">
        <v>157</v>
      </c>
      <c r="E436" s="23" t="s">
        <v>19</v>
      </c>
      <c r="F436" s="26" t="n">
        <f aca="false">F435</f>
        <v>293.15</v>
      </c>
      <c r="G436" s="27" t="n">
        <v>4.76</v>
      </c>
      <c r="H436" s="27" t="n">
        <f aca="false">G436*F436</f>
        <v>1395.394</v>
      </c>
      <c r="I436" s="28" t="n">
        <v>1.207</v>
      </c>
      <c r="J436" s="27" t="n">
        <f aca="false">ROUND(G436*I436,2)</f>
        <v>5.75</v>
      </c>
      <c r="K436" s="27" t="n">
        <f aca="false">J436*F436</f>
        <v>1685.6125</v>
      </c>
      <c r="L436" s="29"/>
      <c r="M436" s="29"/>
      <c r="N436" s="29"/>
      <c r="O436" s="29"/>
      <c r="P436" s="2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customFormat="false" ht="17.5" hidden="false" customHeight="false" outlineLevel="0" collapsed="false">
      <c r="A437" s="23" t="s">
        <v>650</v>
      </c>
      <c r="B437" s="31" t="s">
        <v>26</v>
      </c>
      <c r="C437" s="23" t="s">
        <v>159</v>
      </c>
      <c r="D437" s="25" t="s">
        <v>160</v>
      </c>
      <c r="E437" s="23" t="s">
        <v>19</v>
      </c>
      <c r="F437" s="26" t="n">
        <f aca="false">F435</f>
        <v>293.15</v>
      </c>
      <c r="G437" s="27" t="n">
        <v>23.71</v>
      </c>
      <c r="H437" s="27" t="n">
        <f aca="false">G437*F437</f>
        <v>6950.5865</v>
      </c>
      <c r="I437" s="28" t="n">
        <v>1.207</v>
      </c>
      <c r="J437" s="27" t="n">
        <f aca="false">ROUND(G437*I437,2)</f>
        <v>28.62</v>
      </c>
      <c r="K437" s="27" t="n">
        <f aca="false">J437*F437</f>
        <v>8389.953</v>
      </c>
      <c r="L437" s="29"/>
      <c r="M437" s="29"/>
      <c r="N437" s="29"/>
      <c r="O437" s="29"/>
      <c r="P437" s="2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customFormat="false" ht="17.5" hidden="false" customHeight="false" outlineLevel="0" collapsed="false">
      <c r="A438" s="23" t="s">
        <v>651</v>
      </c>
      <c r="B438" s="31" t="s">
        <v>26</v>
      </c>
      <c r="C438" s="23" t="s">
        <v>162</v>
      </c>
      <c r="D438" s="25" t="s">
        <v>163</v>
      </c>
      <c r="E438" s="23" t="s">
        <v>19</v>
      </c>
      <c r="F438" s="26" t="n">
        <f aca="false">F436</f>
        <v>293.15</v>
      </c>
      <c r="G438" s="27" t="n">
        <v>13.85</v>
      </c>
      <c r="H438" s="27" t="n">
        <f aca="false">G438*F438</f>
        <v>4060.1275</v>
      </c>
      <c r="I438" s="28" t="n">
        <v>1.207</v>
      </c>
      <c r="J438" s="27" t="n">
        <f aca="false">ROUND(G438*I438,2)</f>
        <v>16.72</v>
      </c>
      <c r="K438" s="27" t="n">
        <f aca="false">J438*F438</f>
        <v>4901.468</v>
      </c>
      <c r="L438" s="29"/>
      <c r="M438" s="29"/>
      <c r="N438" s="29"/>
      <c r="O438" s="29"/>
      <c r="P438" s="2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customFormat="false" ht="17.5" hidden="false" customHeight="false" outlineLevel="0" collapsed="false">
      <c r="A439" s="23" t="s">
        <v>652</v>
      </c>
      <c r="B439" s="24" t="s">
        <v>57</v>
      </c>
      <c r="C439" s="23" t="n">
        <v>88411</v>
      </c>
      <c r="D439" s="25" t="s">
        <v>168</v>
      </c>
      <c r="E439" s="23" t="s">
        <v>19</v>
      </c>
      <c r="F439" s="26" t="n">
        <f aca="false">F437</f>
        <v>293.15</v>
      </c>
      <c r="G439" s="27" t="n">
        <v>5.34</v>
      </c>
      <c r="H439" s="27" t="n">
        <f aca="false">G439*F439</f>
        <v>1565.421</v>
      </c>
      <c r="I439" s="28" t="n">
        <v>1.207</v>
      </c>
      <c r="J439" s="27" t="n">
        <f aca="false">ROUND(G439*I439,2)</f>
        <v>6.45</v>
      </c>
      <c r="K439" s="27" t="n">
        <f aca="false">J439*F439</f>
        <v>1890.8175</v>
      </c>
    </row>
    <row r="440" customFormat="false" ht="17.5" hidden="false" customHeight="false" outlineLevel="0" collapsed="false">
      <c r="A440" s="23" t="s">
        <v>653</v>
      </c>
      <c r="B440" s="24" t="s">
        <v>57</v>
      </c>
      <c r="C440" s="23" t="n">
        <v>88489</v>
      </c>
      <c r="D440" s="25" t="s">
        <v>172</v>
      </c>
      <c r="E440" s="23" t="s">
        <v>19</v>
      </c>
      <c r="F440" s="26" t="n">
        <f aca="false">F438</f>
        <v>293.15</v>
      </c>
      <c r="G440" s="27" t="n">
        <v>14.4</v>
      </c>
      <c r="H440" s="27" t="n">
        <f aca="false">G440*F440</f>
        <v>4221.36</v>
      </c>
      <c r="I440" s="28" t="n">
        <v>1.207</v>
      </c>
      <c r="J440" s="27" t="n">
        <f aca="false">ROUND(G440*I440,2)</f>
        <v>17.38</v>
      </c>
      <c r="K440" s="27" t="n">
        <f aca="false">J440*F440</f>
        <v>5094.947</v>
      </c>
      <c r="L440" s="29"/>
      <c r="M440" s="29"/>
      <c r="N440" s="29"/>
      <c r="O440" s="29"/>
      <c r="P440" s="2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customFormat="false" ht="17.5" hidden="false" customHeight="false" outlineLevel="0" collapsed="false">
      <c r="A441" s="66" t="s">
        <v>654</v>
      </c>
      <c r="B441" s="66"/>
      <c r="C441" s="66"/>
      <c r="D441" s="66"/>
      <c r="E441" s="66"/>
      <c r="F441" s="66"/>
      <c r="G441" s="66"/>
      <c r="H441" s="66"/>
      <c r="I441" s="66"/>
      <c r="J441" s="66"/>
      <c r="K441" s="65" t="n">
        <f aca="false">SUM(K442:K446)</f>
        <v>40794.475</v>
      </c>
      <c r="L441" s="29"/>
      <c r="M441" s="29"/>
      <c r="N441" s="29"/>
      <c r="O441" s="29"/>
      <c r="P441" s="29"/>
    </row>
    <row r="442" customFormat="false" ht="17.5" hidden="false" customHeight="false" outlineLevel="0" collapsed="false">
      <c r="A442" s="23" t="s">
        <v>655</v>
      </c>
      <c r="B442" s="30" t="s">
        <v>21</v>
      </c>
      <c r="C442" s="23" t="s">
        <v>656</v>
      </c>
      <c r="D442" s="25" t="s">
        <v>657</v>
      </c>
      <c r="E442" s="23" t="s">
        <v>19</v>
      </c>
      <c r="F442" s="26" t="n">
        <f aca="false">(62+15)*2.1</f>
        <v>161.7</v>
      </c>
      <c r="G442" s="27" t="n">
        <f aca="false">11.7/1.23</f>
        <v>9.51219512195122</v>
      </c>
      <c r="H442" s="27" t="n">
        <f aca="false">G442*F442</f>
        <v>1538.12195121951</v>
      </c>
      <c r="I442" s="28" t="n">
        <v>1.207</v>
      </c>
      <c r="J442" s="27" t="n">
        <f aca="false">ROUND(G442*I442,2)</f>
        <v>11.48</v>
      </c>
      <c r="K442" s="27" t="n">
        <f aca="false">J442*F442</f>
        <v>1856.316</v>
      </c>
      <c r="L442" s="29"/>
      <c r="M442" s="29"/>
      <c r="N442" s="29"/>
      <c r="O442" s="29"/>
      <c r="P442" s="2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customFormat="false" ht="17.5" hidden="false" customHeight="false" outlineLevel="0" collapsed="false">
      <c r="A443" s="23" t="s">
        <v>658</v>
      </c>
      <c r="B443" s="31" t="s">
        <v>26</v>
      </c>
      <c r="C443" s="23" t="s">
        <v>659</v>
      </c>
      <c r="D443" s="25" t="s">
        <v>660</v>
      </c>
      <c r="E443" s="23" t="s">
        <v>19</v>
      </c>
      <c r="F443" s="26" t="n">
        <f aca="false">SUM(62+90+9*2.1)</f>
        <v>170.9</v>
      </c>
      <c r="G443" s="27" t="n">
        <v>79.57</v>
      </c>
      <c r="H443" s="27" t="n">
        <f aca="false">G443*F443</f>
        <v>13598.513</v>
      </c>
      <c r="I443" s="28" t="n">
        <v>1.207</v>
      </c>
      <c r="J443" s="27" t="n">
        <f aca="false">ROUND(G443*I443,2)</f>
        <v>96.04</v>
      </c>
      <c r="K443" s="27" t="n">
        <f aca="false">J443*F443</f>
        <v>16413.236</v>
      </c>
      <c r="L443" s="29"/>
      <c r="M443" s="29"/>
      <c r="N443" s="29"/>
      <c r="O443" s="29"/>
      <c r="P443" s="2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customFormat="false" ht="17.5" hidden="false" customHeight="false" outlineLevel="0" collapsed="false">
      <c r="A444" s="23" t="s">
        <v>661</v>
      </c>
      <c r="B444" s="31" t="s">
        <v>26</v>
      </c>
      <c r="C444" s="23" t="s">
        <v>662</v>
      </c>
      <c r="D444" s="25" t="s">
        <v>663</v>
      </c>
      <c r="E444" s="23" t="s">
        <v>19</v>
      </c>
      <c r="F444" s="26" t="n">
        <f aca="false">2.8*3</f>
        <v>8.4</v>
      </c>
      <c r="G444" s="27" t="n">
        <v>985.93</v>
      </c>
      <c r="H444" s="27" t="n">
        <f aca="false">G444*F444</f>
        <v>8281.812</v>
      </c>
      <c r="I444" s="28" t="n">
        <v>1.207</v>
      </c>
      <c r="J444" s="27" t="n">
        <f aca="false">ROUND(G444*I444,2)</f>
        <v>1190.02</v>
      </c>
      <c r="K444" s="27" t="n">
        <f aca="false">J444*F444</f>
        <v>9996.168</v>
      </c>
      <c r="L444" s="29"/>
      <c r="M444" s="29"/>
      <c r="N444" s="29"/>
      <c r="O444" s="29"/>
      <c r="P444" s="2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customFormat="false" ht="17.5" hidden="false" customHeight="false" outlineLevel="0" collapsed="false">
      <c r="A445" s="23" t="s">
        <v>664</v>
      </c>
      <c r="B445" s="24" t="s">
        <v>57</v>
      </c>
      <c r="C445" s="23" t="n">
        <v>90822</v>
      </c>
      <c r="D445" s="25" t="s">
        <v>665</v>
      </c>
      <c r="E445" s="23" t="s">
        <v>666</v>
      </c>
      <c r="F445" s="26" t="n">
        <v>4</v>
      </c>
      <c r="G445" s="27" t="n">
        <v>431.1</v>
      </c>
      <c r="H445" s="27" t="n">
        <f aca="false">G445*F445</f>
        <v>1724.4</v>
      </c>
      <c r="I445" s="28" t="n">
        <v>1.207</v>
      </c>
      <c r="J445" s="27" t="n">
        <f aca="false">ROUND(G445*I445,2)</f>
        <v>520.34</v>
      </c>
      <c r="K445" s="27" t="n">
        <f aca="false">J445*F445</f>
        <v>2081.36</v>
      </c>
      <c r="L445" s="29"/>
      <c r="M445" s="29"/>
      <c r="N445" s="29"/>
      <c r="O445" s="29"/>
      <c r="P445" s="2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customFormat="false" ht="17.5" hidden="false" customHeight="false" outlineLevel="0" collapsed="false">
      <c r="A446" s="23" t="s">
        <v>667</v>
      </c>
      <c r="B446" s="31" t="s">
        <v>26</v>
      </c>
      <c r="C446" s="23" t="s">
        <v>668</v>
      </c>
      <c r="D446" s="25" t="s">
        <v>669</v>
      </c>
      <c r="E446" s="23" t="s">
        <v>19</v>
      </c>
      <c r="F446" s="26" t="n">
        <f aca="false">(1.25*2.1)*2</f>
        <v>5.25</v>
      </c>
      <c r="G446" s="27" t="n">
        <v>1648.7</v>
      </c>
      <c r="H446" s="27" t="n">
        <f aca="false">G446*F446</f>
        <v>8655.675</v>
      </c>
      <c r="I446" s="28" t="n">
        <v>1.207</v>
      </c>
      <c r="J446" s="27" t="n">
        <f aca="false">ROUND(G446*I446,2)</f>
        <v>1989.98</v>
      </c>
      <c r="K446" s="27" t="n">
        <f aca="false">J446*F446</f>
        <v>10447.395</v>
      </c>
      <c r="L446" s="29"/>
      <c r="M446" s="29"/>
      <c r="N446" s="29"/>
      <c r="O446" s="29"/>
      <c r="P446" s="2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customFormat="false" ht="17.5" hidden="false" customHeight="false" outlineLevel="0" collapsed="false">
      <c r="A447" s="66" t="s">
        <v>670</v>
      </c>
      <c r="B447" s="66"/>
      <c r="C447" s="66"/>
      <c r="D447" s="66"/>
      <c r="E447" s="66"/>
      <c r="F447" s="66"/>
      <c r="G447" s="66"/>
      <c r="H447" s="66"/>
      <c r="I447" s="66"/>
      <c r="J447" s="66"/>
      <c r="K447" s="65" t="n">
        <f aca="false">SUM(K448:K450)</f>
        <v>51483.7</v>
      </c>
      <c r="L447" s="29"/>
      <c r="M447" s="29"/>
      <c r="N447" s="29"/>
      <c r="O447" s="29"/>
      <c r="P447" s="29"/>
    </row>
    <row r="448" customFormat="false" ht="17.5" hidden="false" customHeight="false" outlineLevel="0" collapsed="false">
      <c r="A448" s="23" t="s">
        <v>671</v>
      </c>
      <c r="B448" s="24" t="s">
        <v>57</v>
      </c>
      <c r="C448" s="23" t="n">
        <v>98524</v>
      </c>
      <c r="D448" s="25" t="s">
        <v>672</v>
      </c>
      <c r="E448" s="23" t="s">
        <v>19</v>
      </c>
      <c r="F448" s="26" t="n">
        <v>30</v>
      </c>
      <c r="G448" s="27" t="n">
        <v>6.25</v>
      </c>
      <c r="H448" s="27" t="n">
        <f aca="false">G448*F448</f>
        <v>187.5</v>
      </c>
      <c r="I448" s="28" t="n">
        <v>1.207</v>
      </c>
      <c r="J448" s="27" t="n">
        <f aca="false">ROUND(G448*I448,2)</f>
        <v>7.54</v>
      </c>
      <c r="K448" s="27" t="n">
        <f aca="false">J448*F448</f>
        <v>226.2</v>
      </c>
      <c r="L448" s="29"/>
      <c r="M448" s="29"/>
      <c r="N448" s="29"/>
      <c r="O448" s="29"/>
      <c r="P448" s="2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customFormat="false" ht="21.6" hidden="false" customHeight="false" outlineLevel="0" collapsed="false">
      <c r="A449" s="23" t="s">
        <v>673</v>
      </c>
      <c r="B449" s="24" t="s">
        <v>57</v>
      </c>
      <c r="C449" s="23" t="n">
        <v>94272</v>
      </c>
      <c r="D449" s="25" t="s">
        <v>674</v>
      </c>
      <c r="E449" s="23" t="s">
        <v>24</v>
      </c>
      <c r="F449" s="26" t="n">
        <v>30</v>
      </c>
      <c r="G449" s="27" t="n">
        <v>110.4</v>
      </c>
      <c r="H449" s="27" t="n">
        <f aca="false">G449*F449</f>
        <v>3312</v>
      </c>
      <c r="I449" s="28" t="n">
        <v>1.207</v>
      </c>
      <c r="J449" s="27" t="n">
        <f aca="false">ROUND(G449*I449,2)</f>
        <v>133.25</v>
      </c>
      <c r="K449" s="27" t="n">
        <f aca="false">J449*F449</f>
        <v>3997.5</v>
      </c>
      <c r="L449" s="29"/>
      <c r="M449" s="29"/>
      <c r="N449" s="29"/>
      <c r="O449" s="29"/>
      <c r="P449" s="2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customFormat="false" ht="17.5" hidden="false" customHeight="false" outlineLevel="0" collapsed="false">
      <c r="A450" s="23" t="s">
        <v>675</v>
      </c>
      <c r="B450" s="30" t="s">
        <v>21</v>
      </c>
      <c r="C450" s="23" t="s">
        <v>676</v>
      </c>
      <c r="D450" s="25" t="s">
        <v>677</v>
      </c>
      <c r="E450" s="23" t="s">
        <v>678</v>
      </c>
      <c r="F450" s="26" t="n">
        <f aca="false">100*2</f>
        <v>200</v>
      </c>
      <c r="G450" s="27" t="n">
        <f aca="false">240.8/1.23</f>
        <v>195.772357723577</v>
      </c>
      <c r="H450" s="27" t="n">
        <f aca="false">G450*F450</f>
        <v>39154.4715447155</v>
      </c>
      <c r="I450" s="28" t="n">
        <v>1.207</v>
      </c>
      <c r="J450" s="27" t="n">
        <f aca="false">ROUND(G450*I450,2)</f>
        <v>236.3</v>
      </c>
      <c r="K450" s="27" t="n">
        <f aca="false">J450*F450</f>
        <v>47260</v>
      </c>
      <c r="L450" s="29"/>
      <c r="M450" s="29"/>
      <c r="N450" s="29"/>
      <c r="O450" s="29"/>
      <c r="P450" s="2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customFormat="false" ht="17.5" hidden="false" customHeight="false" outlineLevel="0" collapsed="false">
      <c r="A451" s="32"/>
      <c r="B451" s="32"/>
      <c r="C451" s="32"/>
      <c r="D451" s="32"/>
      <c r="E451" s="32"/>
      <c r="F451" s="32"/>
      <c r="G451" s="33" t="s">
        <v>679</v>
      </c>
      <c r="H451" s="33"/>
      <c r="I451" s="33"/>
      <c r="J451" s="33"/>
      <c r="K451" s="75" t="n">
        <f aca="false">SUM(K447+K441+K434+K422+K415+K403+K393+K389+K376+K374)</f>
        <v>261800.0407</v>
      </c>
      <c r="L451" s="29"/>
      <c r="M451" s="29"/>
      <c r="N451" s="29"/>
      <c r="O451" s="29"/>
      <c r="P451" s="29"/>
    </row>
    <row r="452" customFormat="false" ht="17.5" hidden="false" customHeight="false" outlineLevel="0" collapsed="false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29"/>
      <c r="M452" s="29"/>
      <c r="N452" s="29"/>
      <c r="O452" s="29"/>
      <c r="P452" s="29"/>
    </row>
    <row r="453" customFormat="false" ht="17.5" hidden="false" customHeight="false" outlineLevel="0" collapsed="false">
      <c r="A453" s="20" t="n">
        <v>21</v>
      </c>
      <c r="B453" s="63" t="s">
        <v>680</v>
      </c>
      <c r="C453" s="63"/>
      <c r="D453" s="63"/>
      <c r="E453" s="63"/>
      <c r="F453" s="63"/>
      <c r="G453" s="63"/>
      <c r="H453" s="63"/>
      <c r="I453" s="63"/>
      <c r="J453" s="63"/>
      <c r="K453" s="63"/>
    </row>
    <row r="454" customFormat="false" ht="17.5" hidden="false" customHeight="false" outlineLevel="0" collapsed="false">
      <c r="A454" s="76" t="s">
        <v>681</v>
      </c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29"/>
      <c r="M454" s="29"/>
      <c r="N454" s="29"/>
      <c r="O454" s="29"/>
      <c r="P454" s="2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customFormat="false" ht="17.5" hidden="false" customHeight="true" outlineLevel="0" collapsed="false">
      <c r="A455" s="48" t="s">
        <v>682</v>
      </c>
      <c r="B455" s="77" t="s">
        <v>683</v>
      </c>
      <c r="C455" s="77"/>
      <c r="D455" s="78" t="s">
        <v>684</v>
      </c>
      <c r="E455" s="48" t="s">
        <v>685</v>
      </c>
      <c r="F455" s="79" t="n">
        <v>28</v>
      </c>
      <c r="G455" s="80" t="n">
        <v>137.07</v>
      </c>
      <c r="H455" s="27" t="n">
        <f aca="false">G455*F455</f>
        <v>3837.96</v>
      </c>
      <c r="I455" s="28" t="n">
        <v>0</v>
      </c>
      <c r="J455" s="80" t="n">
        <v>137.07</v>
      </c>
      <c r="K455" s="37" t="n">
        <f aca="false">J455*F455</f>
        <v>3837.96</v>
      </c>
      <c r="L455" s="29"/>
      <c r="M455" s="29"/>
      <c r="N455" s="29"/>
      <c r="O455" s="29"/>
      <c r="P455" s="2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customFormat="false" ht="17.5" hidden="false" customHeight="false" outlineLevel="0" collapsed="false">
      <c r="A456" s="48" t="s">
        <v>686</v>
      </c>
      <c r="B456" s="30" t="s">
        <v>21</v>
      </c>
      <c r="C456" s="48" t="s">
        <v>687</v>
      </c>
      <c r="D456" s="78" t="s">
        <v>688</v>
      </c>
      <c r="E456" s="48" t="s">
        <v>685</v>
      </c>
      <c r="F456" s="79" t="n">
        <v>21</v>
      </c>
      <c r="G456" s="27" t="n">
        <f aca="false">85.27/1.23</f>
        <v>69.3252032520325</v>
      </c>
      <c r="H456" s="27" t="n">
        <f aca="false">G456*F456</f>
        <v>1455.82926829268</v>
      </c>
      <c r="I456" s="28" t="n">
        <v>1.207</v>
      </c>
      <c r="J456" s="27" t="n">
        <f aca="false">ROUND(G456*I456,2)</f>
        <v>83.68</v>
      </c>
      <c r="K456" s="27" t="n">
        <f aca="false">J456*F456</f>
        <v>1757.28</v>
      </c>
      <c r="L456" s="29"/>
      <c r="M456" s="29"/>
      <c r="N456" s="29"/>
      <c r="O456" s="29"/>
      <c r="P456" s="2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customFormat="false" ht="17.5" hidden="false" customHeight="false" outlineLevel="0" collapsed="false">
      <c r="A457" s="48" t="s">
        <v>689</v>
      </c>
      <c r="B457" s="24" t="s">
        <v>57</v>
      </c>
      <c r="C457" s="48" t="n">
        <v>93358</v>
      </c>
      <c r="D457" s="78" t="s">
        <v>690</v>
      </c>
      <c r="E457" s="48" t="s">
        <v>49</v>
      </c>
      <c r="F457" s="79" t="n">
        <v>17.76</v>
      </c>
      <c r="G457" s="27" t="n">
        <v>115.98</v>
      </c>
      <c r="H457" s="27" t="n">
        <f aca="false">G457*F457</f>
        <v>2059.8048</v>
      </c>
      <c r="I457" s="28" t="n">
        <v>1.207</v>
      </c>
      <c r="J457" s="27" t="n">
        <f aca="false">ROUND(G457*I457,2)</f>
        <v>139.99</v>
      </c>
      <c r="K457" s="27" t="n">
        <f aca="false">J457*F457</f>
        <v>2486.2224</v>
      </c>
      <c r="L457" s="29"/>
      <c r="M457" s="29"/>
      <c r="N457" s="29"/>
      <c r="O457" s="29"/>
      <c r="P457" s="2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customFormat="false" ht="17.5" hidden="false" customHeight="false" outlineLevel="0" collapsed="false">
      <c r="A458" s="48" t="s">
        <v>691</v>
      </c>
      <c r="B458" s="24" t="s">
        <v>57</v>
      </c>
      <c r="C458" s="48" t="n">
        <v>93382</v>
      </c>
      <c r="D458" s="78" t="s">
        <v>692</v>
      </c>
      <c r="E458" s="48" t="s">
        <v>49</v>
      </c>
      <c r="F458" s="79" t="n">
        <v>17.76</v>
      </c>
      <c r="G458" s="27" t="n">
        <v>32.8</v>
      </c>
      <c r="H458" s="27" t="n">
        <f aca="false">G458*F458</f>
        <v>582.528</v>
      </c>
      <c r="I458" s="28" t="n">
        <v>1.207</v>
      </c>
      <c r="J458" s="27" t="n">
        <f aca="false">ROUND(G458*I458,2)</f>
        <v>39.59</v>
      </c>
      <c r="K458" s="27" t="n">
        <f aca="false">J458*F458</f>
        <v>703.1184</v>
      </c>
      <c r="L458" s="29"/>
      <c r="M458" s="29"/>
      <c r="N458" s="29"/>
      <c r="O458" s="29"/>
      <c r="P458" s="2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customFormat="false" ht="17.5" hidden="false" customHeight="false" outlineLevel="0" collapsed="false">
      <c r="A459" s="48" t="s">
        <v>693</v>
      </c>
      <c r="B459" s="24" t="s">
        <v>57</v>
      </c>
      <c r="C459" s="48" t="n">
        <v>91929</v>
      </c>
      <c r="D459" s="78" t="s">
        <v>694</v>
      </c>
      <c r="E459" s="48" t="s">
        <v>24</v>
      </c>
      <c r="F459" s="79" t="n">
        <v>388</v>
      </c>
      <c r="G459" s="27" t="n">
        <v>7.91</v>
      </c>
      <c r="H459" s="27" t="n">
        <f aca="false">G459*F459</f>
        <v>3069.08</v>
      </c>
      <c r="I459" s="28" t="n">
        <v>1.207</v>
      </c>
      <c r="J459" s="27" t="n">
        <f aca="false">ROUND(G459*I459,2)</f>
        <v>9.55</v>
      </c>
      <c r="K459" s="27" t="n">
        <f aca="false">J459*F459</f>
        <v>3705.4</v>
      </c>
      <c r="L459" s="29"/>
      <c r="M459" s="29"/>
      <c r="N459" s="29"/>
      <c r="O459" s="29"/>
      <c r="P459" s="2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customFormat="false" ht="17.5" hidden="false" customHeight="false" outlineLevel="0" collapsed="false">
      <c r="A460" s="48" t="s">
        <v>695</v>
      </c>
      <c r="B460" s="24" t="s">
        <v>57</v>
      </c>
      <c r="C460" s="48" t="n">
        <v>101903</v>
      </c>
      <c r="D460" s="78" t="s">
        <v>696</v>
      </c>
      <c r="E460" s="48" t="s">
        <v>685</v>
      </c>
      <c r="F460" s="79" t="n">
        <v>1</v>
      </c>
      <c r="G460" s="27" t="n">
        <v>433.39</v>
      </c>
      <c r="H460" s="27" t="n">
        <f aca="false">G460*F460</f>
        <v>433.39</v>
      </c>
      <c r="I460" s="28" t="n">
        <v>1.207</v>
      </c>
      <c r="J460" s="27" t="n">
        <f aca="false">ROUND(G460*I460,2)</f>
        <v>523.1</v>
      </c>
      <c r="K460" s="27" t="n">
        <f aca="false">J460*F460</f>
        <v>523.1</v>
      </c>
      <c r="L460" s="29"/>
      <c r="M460" s="29"/>
      <c r="N460" s="29"/>
      <c r="O460" s="29"/>
      <c r="P460" s="2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customFormat="false" ht="17.5" hidden="false" customHeight="false" outlineLevel="0" collapsed="false">
      <c r="A461" s="48" t="s">
        <v>697</v>
      </c>
      <c r="B461" s="24" t="s">
        <v>57</v>
      </c>
      <c r="C461" s="48" t="n">
        <v>93672</v>
      </c>
      <c r="D461" s="78" t="s">
        <v>698</v>
      </c>
      <c r="E461" s="48" t="s">
        <v>685</v>
      </c>
      <c r="F461" s="79" t="n">
        <v>1</v>
      </c>
      <c r="G461" s="27" t="n">
        <v>93.1</v>
      </c>
      <c r="H461" s="27" t="n">
        <f aca="false">G461*F461</f>
        <v>93.1</v>
      </c>
      <c r="I461" s="28" t="n">
        <v>1.207</v>
      </c>
      <c r="J461" s="27" t="n">
        <f aca="false">ROUND(G461*I461,2)</f>
        <v>112.37</v>
      </c>
      <c r="K461" s="27" t="n">
        <f aca="false">J461*F461</f>
        <v>112.37</v>
      </c>
      <c r="L461" s="29"/>
      <c r="M461" s="29"/>
      <c r="N461" s="29"/>
      <c r="O461" s="29"/>
      <c r="P461" s="2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customFormat="false" ht="17.5" hidden="false" customHeight="false" outlineLevel="0" collapsed="false">
      <c r="A462" s="76" t="s">
        <v>699</v>
      </c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29"/>
      <c r="M462" s="29"/>
      <c r="N462" s="29"/>
      <c r="O462" s="29"/>
      <c r="P462" s="2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customFormat="false" ht="17.5" hidden="false" customHeight="false" outlineLevel="0" collapsed="false">
      <c r="A463" s="48" t="s">
        <v>700</v>
      </c>
      <c r="B463" s="24" t="s">
        <v>57</v>
      </c>
      <c r="C463" s="48" t="n">
        <v>101657</v>
      </c>
      <c r="D463" s="78" t="s">
        <v>701</v>
      </c>
      <c r="E463" s="48" t="s">
        <v>685</v>
      </c>
      <c r="F463" s="79" t="n">
        <v>24</v>
      </c>
      <c r="G463" s="27" t="n">
        <v>366.67</v>
      </c>
      <c r="H463" s="27" t="n">
        <f aca="false">G463*F463</f>
        <v>8800.08</v>
      </c>
      <c r="I463" s="28" t="n">
        <v>1.207</v>
      </c>
      <c r="J463" s="27" t="n">
        <f aca="false">ROUND(G463*I463,2)</f>
        <v>442.57</v>
      </c>
      <c r="K463" s="27" t="n">
        <f aca="false">J463*F463</f>
        <v>10621.68</v>
      </c>
      <c r="L463" s="29"/>
      <c r="M463" s="29"/>
      <c r="N463" s="29"/>
      <c r="O463" s="29"/>
      <c r="P463" s="2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customFormat="false" ht="17.5" hidden="false" customHeight="false" outlineLevel="0" collapsed="false">
      <c r="A464" s="48" t="s">
        <v>702</v>
      </c>
      <c r="B464" s="24" t="s">
        <v>57</v>
      </c>
      <c r="C464" s="48" t="n">
        <v>93358</v>
      </c>
      <c r="D464" s="78" t="s">
        <v>690</v>
      </c>
      <c r="E464" s="48" t="s">
        <v>49</v>
      </c>
      <c r="F464" s="79" t="n">
        <v>20.7</v>
      </c>
      <c r="G464" s="80" t="n">
        <v>115.98</v>
      </c>
      <c r="H464" s="27" t="n">
        <f aca="false">G464*F464</f>
        <v>2400.786</v>
      </c>
      <c r="I464" s="28" t="n">
        <v>1.207</v>
      </c>
      <c r="J464" s="27" t="n">
        <f aca="false">ROUND(G464*I464,2)</f>
        <v>139.99</v>
      </c>
      <c r="K464" s="27" t="n">
        <f aca="false">J464*F464</f>
        <v>2897.793</v>
      </c>
    </row>
    <row r="465" customFormat="false" ht="17.5" hidden="false" customHeight="false" outlineLevel="0" collapsed="false">
      <c r="A465" s="48" t="s">
        <v>703</v>
      </c>
      <c r="B465" s="24" t="s">
        <v>57</v>
      </c>
      <c r="C465" s="48" t="n">
        <v>93382</v>
      </c>
      <c r="D465" s="78" t="s">
        <v>692</v>
      </c>
      <c r="E465" s="48" t="s">
        <v>49</v>
      </c>
      <c r="F465" s="79" t="n">
        <v>20.7</v>
      </c>
      <c r="G465" s="27" t="n">
        <v>32.8</v>
      </c>
      <c r="H465" s="27" t="n">
        <f aca="false">G465*F465</f>
        <v>678.96</v>
      </c>
      <c r="I465" s="28" t="n">
        <v>1.207</v>
      </c>
      <c r="J465" s="27" t="n">
        <f aca="false">ROUND(G465*I465,2)</f>
        <v>39.59</v>
      </c>
      <c r="K465" s="27" t="n">
        <f aca="false">J465*F465</f>
        <v>819.513</v>
      </c>
    </row>
    <row r="466" customFormat="false" ht="21.8" hidden="false" customHeight="false" outlineLevel="0" collapsed="false">
      <c r="A466" s="48" t="s">
        <v>704</v>
      </c>
      <c r="B466" s="31" t="s">
        <v>26</v>
      </c>
      <c r="C466" s="81" t="s">
        <v>705</v>
      </c>
      <c r="D466" s="82" t="s">
        <v>706</v>
      </c>
      <c r="E466" s="48" t="s">
        <v>24</v>
      </c>
      <c r="F466" s="79" t="n">
        <v>169</v>
      </c>
      <c r="G466" s="83" t="n">
        <v>11.02</v>
      </c>
      <c r="H466" s="27" t="n">
        <f aca="false">G466*F466</f>
        <v>1862.38</v>
      </c>
      <c r="I466" s="28" t="n">
        <v>1.207</v>
      </c>
      <c r="J466" s="27" t="n">
        <f aca="false">ROUND(G466*I466,2)</f>
        <v>13.3</v>
      </c>
      <c r="K466" s="27" t="n">
        <f aca="false">J466*F466</f>
        <v>2247.7</v>
      </c>
    </row>
    <row r="467" customFormat="false" ht="17.5" hidden="false" customHeight="false" outlineLevel="0" collapsed="false">
      <c r="A467" s="48" t="s">
        <v>707</v>
      </c>
      <c r="B467" s="24" t="s">
        <v>57</v>
      </c>
      <c r="C467" s="48" t="n">
        <v>91929</v>
      </c>
      <c r="D467" s="78" t="s">
        <v>694</v>
      </c>
      <c r="E467" s="48" t="s">
        <v>24</v>
      </c>
      <c r="F467" s="79" t="n">
        <v>488</v>
      </c>
      <c r="G467" s="80" t="n">
        <v>7.91</v>
      </c>
      <c r="H467" s="27" t="n">
        <f aca="false">G467*F467</f>
        <v>3860.08</v>
      </c>
      <c r="I467" s="28" t="n">
        <v>1.207</v>
      </c>
      <c r="J467" s="27" t="n">
        <f aca="false">ROUND(G467*I467,2)</f>
        <v>9.55</v>
      </c>
      <c r="K467" s="27" t="n">
        <f aca="false">J467*F467</f>
        <v>4660.4</v>
      </c>
    </row>
    <row r="468" customFormat="false" ht="17.5" hidden="false" customHeight="false" outlineLevel="0" collapsed="false">
      <c r="A468" s="48" t="s">
        <v>708</v>
      </c>
      <c r="B468" s="24" t="s">
        <v>57</v>
      </c>
      <c r="C468" s="48" t="n">
        <v>93008</v>
      </c>
      <c r="D468" s="78" t="s">
        <v>709</v>
      </c>
      <c r="E468" s="48" t="s">
        <v>24</v>
      </c>
      <c r="F468" s="79" t="n">
        <v>75</v>
      </c>
      <c r="G468" s="80" t="n">
        <v>19.92</v>
      </c>
      <c r="H468" s="27" t="n">
        <f aca="false">G468*F468</f>
        <v>1494</v>
      </c>
      <c r="I468" s="28" t="n">
        <v>1.207</v>
      </c>
      <c r="J468" s="27" t="n">
        <f aca="false">ROUND(G468*I468,2)</f>
        <v>24.04</v>
      </c>
      <c r="K468" s="27" t="n">
        <f aca="false">J468*F468</f>
        <v>1803</v>
      </c>
    </row>
    <row r="469" customFormat="false" ht="17.5" hidden="false" customHeight="false" outlineLevel="0" collapsed="false">
      <c r="A469" s="48" t="s">
        <v>710</v>
      </c>
      <c r="B469" s="24" t="s">
        <v>57</v>
      </c>
      <c r="C469" s="48" t="n">
        <v>101632</v>
      </c>
      <c r="D469" s="78" t="s">
        <v>711</v>
      </c>
      <c r="E469" s="48" t="s">
        <v>685</v>
      </c>
      <c r="F469" s="79" t="n">
        <v>1</v>
      </c>
      <c r="G469" s="80" t="n">
        <v>36.89</v>
      </c>
      <c r="H469" s="27" t="n">
        <f aca="false">G469*F469</f>
        <v>36.89</v>
      </c>
      <c r="I469" s="28" t="n">
        <v>1.207</v>
      </c>
      <c r="J469" s="27" t="n">
        <f aca="false">ROUND(G469*I469,2)</f>
        <v>44.53</v>
      </c>
      <c r="K469" s="27" t="n">
        <f aca="false">J469*F469</f>
        <v>44.53</v>
      </c>
    </row>
    <row r="470" customFormat="false" ht="17.5" hidden="false" customHeight="false" outlineLevel="0" collapsed="false">
      <c r="A470" s="48" t="s">
        <v>712</v>
      </c>
      <c r="B470" s="24" t="s">
        <v>57</v>
      </c>
      <c r="C470" s="48" t="n">
        <v>93672</v>
      </c>
      <c r="D470" s="78" t="s">
        <v>698</v>
      </c>
      <c r="E470" s="48" t="s">
        <v>685</v>
      </c>
      <c r="F470" s="79" t="n">
        <v>1</v>
      </c>
      <c r="G470" s="80" t="n">
        <v>93.1</v>
      </c>
      <c r="H470" s="27" t="n">
        <f aca="false">G470*F470</f>
        <v>93.1</v>
      </c>
      <c r="I470" s="28" t="n">
        <v>1.207</v>
      </c>
      <c r="J470" s="27" t="n">
        <f aca="false">ROUND(G470*I470,2)</f>
        <v>112.37</v>
      </c>
      <c r="K470" s="27" t="n">
        <f aca="false">J470*F470</f>
        <v>112.37</v>
      </c>
    </row>
    <row r="471" customFormat="false" ht="17.5" hidden="false" customHeight="false" outlineLevel="0" collapsed="false">
      <c r="A471" s="48" t="s">
        <v>713</v>
      </c>
      <c r="B471" s="24" t="s">
        <v>57</v>
      </c>
      <c r="C471" s="48" t="n">
        <v>101903</v>
      </c>
      <c r="D471" s="78" t="s">
        <v>696</v>
      </c>
      <c r="E471" s="48" t="s">
        <v>685</v>
      </c>
      <c r="F471" s="79" t="n">
        <v>1</v>
      </c>
      <c r="G471" s="80" t="n">
        <v>433.39</v>
      </c>
      <c r="H471" s="27" t="n">
        <f aca="false">G471*F471</f>
        <v>433.39</v>
      </c>
      <c r="I471" s="28" t="n">
        <v>1.207</v>
      </c>
      <c r="J471" s="27" t="n">
        <f aca="false">ROUND(G471*I471,2)</f>
        <v>523.1</v>
      </c>
      <c r="K471" s="27" t="n">
        <f aca="false">J471*F471</f>
        <v>523.1</v>
      </c>
    </row>
    <row r="472" customFormat="false" ht="17.5" hidden="false" customHeight="false" outlineLevel="0" collapsed="false">
      <c r="A472" s="76" t="s">
        <v>714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</row>
    <row r="473" customFormat="false" ht="17.5" hidden="false" customHeight="false" outlineLevel="0" collapsed="false">
      <c r="A473" s="48" t="s">
        <v>715</v>
      </c>
      <c r="B473" s="24" t="s">
        <v>57</v>
      </c>
      <c r="C473" s="48" t="n">
        <v>100619</v>
      </c>
      <c r="D473" s="78" t="s">
        <v>716</v>
      </c>
      <c r="E473" s="48" t="s">
        <v>685</v>
      </c>
      <c r="F473" s="79" t="n">
        <v>11</v>
      </c>
      <c r="G473" s="80" t="n">
        <v>626.96</v>
      </c>
      <c r="H473" s="27" t="n">
        <f aca="false">G473*F473</f>
        <v>6896.56</v>
      </c>
      <c r="I473" s="28" t="n">
        <v>1.207</v>
      </c>
      <c r="J473" s="27" t="n">
        <f aca="false">ROUND(G473*I473,2)</f>
        <v>756.74</v>
      </c>
      <c r="K473" s="27" t="n">
        <f aca="false">J473*F473</f>
        <v>8324.14</v>
      </c>
    </row>
    <row r="474" customFormat="false" ht="17.5" hidden="false" customHeight="false" outlineLevel="0" collapsed="false">
      <c r="A474" s="48" t="s">
        <v>717</v>
      </c>
      <c r="B474" s="24" t="s">
        <v>57</v>
      </c>
      <c r="C474" s="48" t="n">
        <v>93358</v>
      </c>
      <c r="D474" s="78" t="s">
        <v>690</v>
      </c>
      <c r="E474" s="48" t="s">
        <v>49</v>
      </c>
      <c r="F474" s="79" t="n">
        <v>11.03</v>
      </c>
      <c r="G474" s="80" t="n">
        <v>115.98</v>
      </c>
      <c r="H474" s="27" t="n">
        <f aca="false">G474*F474</f>
        <v>1279.2594</v>
      </c>
      <c r="I474" s="28" t="n">
        <v>1.207</v>
      </c>
      <c r="J474" s="27" t="n">
        <f aca="false">ROUND(G474*I474,2)</f>
        <v>139.99</v>
      </c>
      <c r="K474" s="27" t="n">
        <f aca="false">J474*F474</f>
        <v>1544.0897</v>
      </c>
    </row>
    <row r="475" customFormat="false" ht="17.5" hidden="false" customHeight="false" outlineLevel="0" collapsed="false">
      <c r="A475" s="48" t="s">
        <v>718</v>
      </c>
      <c r="B475" s="24" t="s">
        <v>57</v>
      </c>
      <c r="C475" s="48" t="n">
        <v>93382</v>
      </c>
      <c r="D475" s="78" t="s">
        <v>692</v>
      </c>
      <c r="E475" s="48" t="s">
        <v>49</v>
      </c>
      <c r="F475" s="79" t="n">
        <v>11.03</v>
      </c>
      <c r="G475" s="27" t="n">
        <v>32.8</v>
      </c>
      <c r="H475" s="27" t="n">
        <f aca="false">G475*F475</f>
        <v>361.784</v>
      </c>
      <c r="I475" s="28" t="n">
        <v>1.207</v>
      </c>
      <c r="J475" s="27" t="n">
        <f aca="false">ROUND(G475*I475,2)</f>
        <v>39.59</v>
      </c>
      <c r="K475" s="27" t="n">
        <f aca="false">J475*F475</f>
        <v>436.6777</v>
      </c>
    </row>
    <row r="476" customFormat="false" ht="17.5" hidden="false" customHeight="false" outlineLevel="0" collapsed="false">
      <c r="A476" s="48" t="s">
        <v>719</v>
      </c>
      <c r="B476" s="24" t="s">
        <v>57</v>
      </c>
      <c r="C476" s="48" t="n">
        <v>94990</v>
      </c>
      <c r="D476" s="78" t="s">
        <v>720</v>
      </c>
      <c r="E476" s="48" t="s">
        <v>49</v>
      </c>
      <c r="F476" s="79" t="n">
        <v>0.26</v>
      </c>
      <c r="G476" s="80" t="n">
        <v>729.56</v>
      </c>
      <c r="H476" s="27" t="n">
        <f aca="false">G476*F476</f>
        <v>189.6856</v>
      </c>
      <c r="I476" s="28" t="n">
        <v>1.207</v>
      </c>
      <c r="J476" s="27" t="n">
        <f aca="false">ROUND(G476*I476,2)</f>
        <v>880.58</v>
      </c>
      <c r="K476" s="27" t="n">
        <f aca="false">J476*F476</f>
        <v>228.9508</v>
      </c>
    </row>
    <row r="477" customFormat="false" ht="21.8" hidden="false" customHeight="false" outlineLevel="0" collapsed="false">
      <c r="A477" s="48" t="s">
        <v>721</v>
      </c>
      <c r="B477" s="31" t="s">
        <v>26</v>
      </c>
      <c r="C477" s="81" t="s">
        <v>705</v>
      </c>
      <c r="D477" s="82" t="s">
        <v>706</v>
      </c>
      <c r="E477" s="48" t="s">
        <v>24</v>
      </c>
      <c r="F477" s="79" t="n">
        <v>90</v>
      </c>
      <c r="G477" s="83" t="n">
        <v>11.02</v>
      </c>
      <c r="H477" s="27" t="n">
        <f aca="false">G477*F477</f>
        <v>991.8</v>
      </c>
      <c r="I477" s="28" t="n">
        <v>1.207</v>
      </c>
      <c r="J477" s="27" t="n">
        <f aca="false">ROUND(G477*I477,2)</f>
        <v>13.3</v>
      </c>
      <c r="K477" s="27" t="n">
        <f aca="false">J477*F477</f>
        <v>1197</v>
      </c>
    </row>
    <row r="478" customFormat="false" ht="17.5" hidden="false" customHeight="false" outlineLevel="0" collapsed="false">
      <c r="A478" s="48" t="s">
        <v>722</v>
      </c>
      <c r="B478" s="24" t="s">
        <v>57</v>
      </c>
      <c r="C478" s="48" t="n">
        <v>91929</v>
      </c>
      <c r="D478" s="78" t="s">
        <v>694</v>
      </c>
      <c r="E478" s="48" t="s">
        <v>24</v>
      </c>
      <c r="F478" s="79" t="n">
        <v>180</v>
      </c>
      <c r="G478" s="80" t="n">
        <v>7.91</v>
      </c>
      <c r="H478" s="27" t="n">
        <f aca="false">G478*F478</f>
        <v>1423.8</v>
      </c>
      <c r="I478" s="28" t="n">
        <v>1.207</v>
      </c>
      <c r="J478" s="27" t="n">
        <f aca="false">ROUND(G478*I478,2)</f>
        <v>9.55</v>
      </c>
      <c r="K478" s="27" t="n">
        <f aca="false">J478*F478</f>
        <v>1719</v>
      </c>
    </row>
    <row r="479" customFormat="false" ht="17.5" hidden="false" customHeight="false" outlineLevel="0" collapsed="false">
      <c r="A479" s="48" t="s">
        <v>723</v>
      </c>
      <c r="B479" s="30" t="s">
        <v>21</v>
      </c>
      <c r="C479" s="48" t="s">
        <v>724</v>
      </c>
      <c r="D479" s="78" t="s">
        <v>725</v>
      </c>
      <c r="E479" s="48" t="s">
        <v>685</v>
      </c>
      <c r="F479" s="79" t="n">
        <v>1</v>
      </c>
      <c r="G479" s="80" t="n">
        <f aca="false">598.3/1.23</f>
        <v>486.422764227642</v>
      </c>
      <c r="H479" s="27" t="n">
        <f aca="false">G479*F479</f>
        <v>486.422764227642</v>
      </c>
      <c r="I479" s="28" t="n">
        <v>1.207</v>
      </c>
      <c r="J479" s="27" t="n">
        <f aca="false">ROUND(G479*I479,2)</f>
        <v>587.11</v>
      </c>
      <c r="K479" s="27" t="n">
        <f aca="false">J479*F479</f>
        <v>587.11</v>
      </c>
    </row>
    <row r="480" customFormat="false" ht="17.5" hidden="false" customHeight="true" outlineLevel="0" collapsed="false">
      <c r="A480" s="48" t="s">
        <v>726</v>
      </c>
      <c r="B480" s="77" t="s">
        <v>683</v>
      </c>
      <c r="C480" s="77"/>
      <c r="D480" s="78" t="s">
        <v>727</v>
      </c>
      <c r="E480" s="48" t="s">
        <v>685</v>
      </c>
      <c r="F480" s="79" t="n">
        <v>22</v>
      </c>
      <c r="G480" s="80" t="n">
        <v>33.23</v>
      </c>
      <c r="H480" s="27" t="n">
        <f aca="false">G480*F480</f>
        <v>731.06</v>
      </c>
      <c r="I480" s="28" t="n">
        <v>0</v>
      </c>
      <c r="J480" s="80" t="n">
        <v>33.23</v>
      </c>
      <c r="K480" s="37" t="n">
        <f aca="false">J480*F480</f>
        <v>731.06</v>
      </c>
    </row>
    <row r="481" customFormat="false" ht="17.5" hidden="false" customHeight="false" outlineLevel="0" collapsed="false">
      <c r="A481" s="48" t="s">
        <v>728</v>
      </c>
      <c r="B481" s="24" t="s">
        <v>57</v>
      </c>
      <c r="C481" s="48" t="n">
        <v>93672</v>
      </c>
      <c r="D481" s="78" t="s">
        <v>698</v>
      </c>
      <c r="E481" s="48" t="s">
        <v>685</v>
      </c>
      <c r="F481" s="79" t="n">
        <v>1</v>
      </c>
      <c r="G481" s="80" t="n">
        <v>93.1</v>
      </c>
      <c r="H481" s="27" t="n">
        <f aca="false">G481*F481</f>
        <v>93.1</v>
      </c>
      <c r="I481" s="28" t="n">
        <v>1.207</v>
      </c>
      <c r="J481" s="27" t="n">
        <f aca="false">ROUND(G481*I481,2)</f>
        <v>112.37</v>
      </c>
      <c r="K481" s="27" t="n">
        <f aca="false">J481*F481</f>
        <v>112.37</v>
      </c>
    </row>
    <row r="482" customFormat="false" ht="17.5" hidden="false" customHeight="false" outlineLevel="0" collapsed="false">
      <c r="A482" s="48" t="s">
        <v>729</v>
      </c>
      <c r="B482" s="24" t="s">
        <v>57</v>
      </c>
      <c r="C482" s="48" t="n">
        <v>101632</v>
      </c>
      <c r="D482" s="78" t="s">
        <v>711</v>
      </c>
      <c r="E482" s="48" t="s">
        <v>685</v>
      </c>
      <c r="F482" s="79" t="n">
        <v>1</v>
      </c>
      <c r="G482" s="80" t="n">
        <v>36.89</v>
      </c>
      <c r="H482" s="27" t="n">
        <f aca="false">G482*F482</f>
        <v>36.89</v>
      </c>
      <c r="I482" s="28" t="n">
        <v>1.207</v>
      </c>
      <c r="J482" s="27" t="n">
        <f aca="false">ROUND(G482*I482,2)</f>
        <v>44.53</v>
      </c>
      <c r="K482" s="27" t="n">
        <f aca="false">J482*F482</f>
        <v>44.53</v>
      </c>
    </row>
    <row r="483" customFormat="false" ht="17.5" hidden="false" customHeight="false" outlineLevel="0" collapsed="false">
      <c r="A483" s="48" t="s">
        <v>730</v>
      </c>
      <c r="B483" s="24" t="s">
        <v>57</v>
      </c>
      <c r="C483" s="48" t="n">
        <v>101903</v>
      </c>
      <c r="D483" s="78" t="s">
        <v>696</v>
      </c>
      <c r="E483" s="48" t="s">
        <v>685</v>
      </c>
      <c r="F483" s="79" t="n">
        <v>1</v>
      </c>
      <c r="G483" s="80" t="n">
        <v>433.39</v>
      </c>
      <c r="H483" s="27" t="n">
        <f aca="false">G483*F483</f>
        <v>433.39</v>
      </c>
      <c r="I483" s="28" t="n">
        <v>1.207</v>
      </c>
      <c r="J483" s="27" t="n">
        <f aca="false">ROUND(G483*I483,2)</f>
        <v>523.1</v>
      </c>
      <c r="K483" s="27" t="n">
        <f aca="false">J483*F483</f>
        <v>523.1</v>
      </c>
    </row>
    <row r="484" customFormat="false" ht="17.5" hidden="false" customHeight="false" outlineLevel="0" collapsed="false">
      <c r="A484" s="76" t="s">
        <v>731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</row>
    <row r="485" customFormat="false" ht="17.5" hidden="false" customHeight="false" outlineLevel="0" collapsed="false">
      <c r="A485" s="48" t="s">
        <v>732</v>
      </c>
      <c r="B485" s="30" t="s">
        <v>21</v>
      </c>
      <c r="C485" s="48" t="s">
        <v>733</v>
      </c>
      <c r="D485" s="78" t="s">
        <v>734</v>
      </c>
      <c r="E485" s="48" t="s">
        <v>685</v>
      </c>
      <c r="F485" s="79" t="n">
        <v>27</v>
      </c>
      <c r="G485" s="80" t="n">
        <f aca="false">85.27/1.23</f>
        <v>69.3252032520325</v>
      </c>
      <c r="H485" s="27" t="n">
        <f aca="false">G485*F485</f>
        <v>1871.78048780488</v>
      </c>
      <c r="I485" s="28" t="n">
        <v>1.207</v>
      </c>
      <c r="J485" s="27" t="n">
        <f aca="false">ROUND(G485*I485,2)</f>
        <v>83.68</v>
      </c>
      <c r="K485" s="27" t="n">
        <f aca="false">J485*F485</f>
        <v>2259.36</v>
      </c>
    </row>
    <row r="486" customFormat="false" ht="17.5" hidden="false" customHeight="false" outlineLevel="0" collapsed="false">
      <c r="A486" s="48" t="s">
        <v>735</v>
      </c>
      <c r="B486" s="30" t="s">
        <v>21</v>
      </c>
      <c r="C486" s="48" t="s">
        <v>687</v>
      </c>
      <c r="D486" s="78" t="s">
        <v>688</v>
      </c>
      <c r="E486" s="48" t="s">
        <v>685</v>
      </c>
      <c r="F486" s="79" t="n">
        <v>12</v>
      </c>
      <c r="G486" s="27" t="n">
        <f aca="false">85.27/1.23</f>
        <v>69.3252032520325</v>
      </c>
      <c r="H486" s="27" t="n">
        <f aca="false">G486*F486</f>
        <v>831.90243902439</v>
      </c>
      <c r="I486" s="28" t="n">
        <v>1.207</v>
      </c>
      <c r="J486" s="27" t="n">
        <f aca="false">ROUND(G486*I486,2)</f>
        <v>83.68</v>
      </c>
      <c r="K486" s="27" t="n">
        <f aca="false">J486*F486</f>
        <v>1004.16</v>
      </c>
    </row>
    <row r="487" customFormat="false" ht="17.5" hidden="false" customHeight="false" outlineLevel="0" collapsed="false">
      <c r="A487" s="48" t="s">
        <v>736</v>
      </c>
      <c r="B487" s="24" t="s">
        <v>57</v>
      </c>
      <c r="C487" s="48" t="n">
        <v>101632</v>
      </c>
      <c r="D487" s="78" t="s">
        <v>711</v>
      </c>
      <c r="E487" s="48" t="s">
        <v>685</v>
      </c>
      <c r="F487" s="79" t="n">
        <v>1</v>
      </c>
      <c r="G487" s="80" t="n">
        <v>36.89</v>
      </c>
      <c r="H487" s="27" t="n">
        <f aca="false">G487*F487</f>
        <v>36.89</v>
      </c>
      <c r="I487" s="28" t="n">
        <v>1.207</v>
      </c>
      <c r="J487" s="27" t="n">
        <f aca="false">ROUND(G487*I487,2)</f>
        <v>44.53</v>
      </c>
      <c r="K487" s="27" t="n">
        <f aca="false">J487*F487</f>
        <v>44.53</v>
      </c>
    </row>
    <row r="488" customFormat="false" ht="17.5" hidden="false" customHeight="false" outlineLevel="0" collapsed="false">
      <c r="A488" s="48" t="s">
        <v>737</v>
      </c>
      <c r="B488" s="30" t="s">
        <v>21</v>
      </c>
      <c r="C488" s="48" t="s">
        <v>738</v>
      </c>
      <c r="D488" s="78" t="s">
        <v>739</v>
      </c>
      <c r="E488" s="48" t="s">
        <v>685</v>
      </c>
      <c r="F488" s="79" t="n">
        <v>12</v>
      </c>
      <c r="G488" s="80" t="n">
        <f aca="false">136.61/1.23</f>
        <v>111.065040650407</v>
      </c>
      <c r="H488" s="27" t="n">
        <f aca="false">G488*F488</f>
        <v>1332.78048780488</v>
      </c>
      <c r="I488" s="28" t="n">
        <v>1.207</v>
      </c>
      <c r="J488" s="27" t="n">
        <f aca="false">ROUND(G488*I488,2)</f>
        <v>134.06</v>
      </c>
      <c r="K488" s="27" t="n">
        <f aca="false">J488*F488</f>
        <v>1608.72</v>
      </c>
    </row>
    <row r="489" customFormat="false" ht="17.5" hidden="false" customHeight="false" outlineLevel="0" collapsed="false">
      <c r="A489" s="48" t="s">
        <v>740</v>
      </c>
      <c r="B489" s="30" t="s">
        <v>21</v>
      </c>
      <c r="C489" s="48" t="s">
        <v>741</v>
      </c>
      <c r="D489" s="78" t="s">
        <v>742</v>
      </c>
      <c r="E489" s="48" t="s">
        <v>685</v>
      </c>
      <c r="F489" s="79" t="n">
        <v>12</v>
      </c>
      <c r="G489" s="80" t="n">
        <f aca="false">234.52/1.23</f>
        <v>190.666666666667</v>
      </c>
      <c r="H489" s="27" t="n">
        <f aca="false">G489*F489</f>
        <v>2288</v>
      </c>
      <c r="I489" s="28" t="n">
        <v>1.207</v>
      </c>
      <c r="J489" s="27" t="n">
        <f aca="false">ROUND(G489*I489,2)</f>
        <v>230.13</v>
      </c>
      <c r="K489" s="27" t="n">
        <f aca="false">J489*F489</f>
        <v>2761.56</v>
      </c>
    </row>
    <row r="490" customFormat="false" ht="17.5" hidden="false" customHeight="false" outlineLevel="0" collapsed="false">
      <c r="A490" s="48" t="s">
        <v>743</v>
      </c>
      <c r="B490" s="24" t="s">
        <v>57</v>
      </c>
      <c r="C490" s="48" t="n">
        <v>101903</v>
      </c>
      <c r="D490" s="78" t="s">
        <v>696</v>
      </c>
      <c r="E490" s="48" t="s">
        <v>685</v>
      </c>
      <c r="F490" s="79" t="n">
        <v>4</v>
      </c>
      <c r="G490" s="80" t="n">
        <v>433.39</v>
      </c>
      <c r="H490" s="27" t="n">
        <f aca="false">G490*F490</f>
        <v>1733.56</v>
      </c>
      <c r="I490" s="28" t="n">
        <v>1.207</v>
      </c>
      <c r="J490" s="27" t="n">
        <f aca="false">ROUND(G490*I490,2)</f>
        <v>523.1</v>
      </c>
      <c r="K490" s="27" t="n">
        <f aca="false">J490*F490</f>
        <v>2092.4</v>
      </c>
    </row>
    <row r="491" customFormat="false" ht="17.5" hidden="false" customHeight="false" outlineLevel="0" collapsed="false">
      <c r="A491" s="76" t="s">
        <v>744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</row>
    <row r="492" customFormat="false" ht="17.5" hidden="false" customHeight="false" outlineLevel="0" collapsed="false">
      <c r="A492" s="84" t="s">
        <v>745</v>
      </c>
      <c r="B492" s="30" t="s">
        <v>21</v>
      </c>
      <c r="C492" s="48" t="s">
        <v>733</v>
      </c>
      <c r="D492" s="78" t="s">
        <v>734</v>
      </c>
      <c r="E492" s="48" t="s">
        <v>685</v>
      </c>
      <c r="F492" s="79" t="n">
        <v>37</v>
      </c>
      <c r="G492" s="80" t="n">
        <f aca="false">85.27/1.23</f>
        <v>69.3252032520325</v>
      </c>
      <c r="H492" s="27" t="n">
        <f aca="false">G492*F492</f>
        <v>2565.0325203252</v>
      </c>
      <c r="I492" s="28" t="n">
        <v>1.207</v>
      </c>
      <c r="J492" s="27" t="n">
        <f aca="false">ROUND(G492*I492,2)</f>
        <v>83.68</v>
      </c>
      <c r="K492" s="27" t="n">
        <f aca="false">J492*F492</f>
        <v>3096.16</v>
      </c>
    </row>
    <row r="493" customFormat="false" ht="17.5" hidden="false" customHeight="false" outlineLevel="0" collapsed="false">
      <c r="A493" s="84" t="s">
        <v>746</v>
      </c>
      <c r="B493" s="30" t="s">
        <v>21</v>
      </c>
      <c r="C493" s="48" t="s">
        <v>687</v>
      </c>
      <c r="D493" s="78" t="s">
        <v>688</v>
      </c>
      <c r="E493" s="48" t="s">
        <v>685</v>
      </c>
      <c r="F493" s="79" t="n">
        <v>37</v>
      </c>
      <c r="G493" s="27" t="n">
        <f aca="false">85.27/1.23</f>
        <v>69.3252032520325</v>
      </c>
      <c r="H493" s="27" t="n">
        <f aca="false">G493*F493</f>
        <v>2565.0325203252</v>
      </c>
      <c r="I493" s="28" t="n">
        <v>1.207</v>
      </c>
      <c r="J493" s="27" t="n">
        <f aca="false">ROUND(G493*I493,2)</f>
        <v>83.68</v>
      </c>
      <c r="K493" s="27" t="n">
        <f aca="false">J493*F493</f>
        <v>3096.16</v>
      </c>
    </row>
    <row r="494" customFormat="false" ht="17.5" hidden="false" customHeight="true" outlineLevel="0" collapsed="false">
      <c r="A494" s="84" t="s">
        <v>747</v>
      </c>
      <c r="B494" s="77" t="s">
        <v>683</v>
      </c>
      <c r="C494" s="77"/>
      <c r="D494" s="78" t="s">
        <v>684</v>
      </c>
      <c r="E494" s="48" t="s">
        <v>685</v>
      </c>
      <c r="F494" s="79" t="n">
        <v>37</v>
      </c>
      <c r="G494" s="80" t="n">
        <v>137.07</v>
      </c>
      <c r="H494" s="27" t="n">
        <f aca="false">G494*F494</f>
        <v>5071.59</v>
      </c>
      <c r="I494" s="28" t="n">
        <v>0</v>
      </c>
      <c r="J494" s="80" t="n">
        <v>137.07</v>
      </c>
      <c r="K494" s="37" t="n">
        <f aca="false">J494*F494</f>
        <v>5071.59</v>
      </c>
    </row>
    <row r="495" customFormat="false" ht="17.5" hidden="false" customHeight="false" outlineLevel="0" collapsed="false">
      <c r="A495" s="84" t="s">
        <v>748</v>
      </c>
      <c r="B495" s="24" t="s">
        <v>57</v>
      </c>
      <c r="C495" s="48" t="n">
        <v>101903</v>
      </c>
      <c r="D495" s="78" t="s">
        <v>696</v>
      </c>
      <c r="E495" s="48" t="s">
        <v>685</v>
      </c>
      <c r="F495" s="79" t="n">
        <v>2</v>
      </c>
      <c r="G495" s="80" t="n">
        <v>433.39</v>
      </c>
      <c r="H495" s="27" t="n">
        <f aca="false">G495*F495</f>
        <v>866.78</v>
      </c>
      <c r="I495" s="28" t="n">
        <v>1.207</v>
      </c>
      <c r="J495" s="27" t="n">
        <f aca="false">ROUND(G495*I495,2)</f>
        <v>523.1</v>
      </c>
      <c r="K495" s="27" t="n">
        <f aca="false">J495*F495</f>
        <v>1046.2</v>
      </c>
    </row>
    <row r="496" customFormat="false" ht="17.5" hidden="false" customHeight="false" outlineLevel="0" collapsed="false">
      <c r="A496" s="76" t="s">
        <v>749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</row>
    <row r="497" customFormat="false" ht="17.5" hidden="false" customHeight="false" outlineLevel="0" collapsed="false">
      <c r="A497" s="48" t="s">
        <v>750</v>
      </c>
      <c r="B497" s="24" t="s">
        <v>57</v>
      </c>
      <c r="C497" s="48" t="n">
        <v>93358</v>
      </c>
      <c r="D497" s="78" t="s">
        <v>690</v>
      </c>
      <c r="E497" s="48" t="s">
        <v>49</v>
      </c>
      <c r="F497" s="79" t="n">
        <v>5.51</v>
      </c>
      <c r="G497" s="80" t="n">
        <v>115.98</v>
      </c>
      <c r="H497" s="27" t="n">
        <f aca="false">G497*F497</f>
        <v>639.0498</v>
      </c>
      <c r="I497" s="28" t="n">
        <v>1.207</v>
      </c>
      <c r="J497" s="27" t="n">
        <f aca="false">ROUND(G497*I497,2)</f>
        <v>139.99</v>
      </c>
      <c r="K497" s="27" t="n">
        <f aca="false">J497*F497</f>
        <v>771.3449</v>
      </c>
    </row>
    <row r="498" customFormat="false" ht="21.8" hidden="false" customHeight="false" outlineLevel="0" collapsed="false">
      <c r="A498" s="48" t="s">
        <v>751</v>
      </c>
      <c r="B498" s="31" t="s">
        <v>26</v>
      </c>
      <c r="C498" s="81" t="s">
        <v>705</v>
      </c>
      <c r="D498" s="82" t="s">
        <v>706</v>
      </c>
      <c r="E498" s="48" t="s">
        <v>24</v>
      </c>
      <c r="F498" s="79" t="n">
        <v>55</v>
      </c>
      <c r="G498" s="83" t="n">
        <v>11.02</v>
      </c>
      <c r="H498" s="27" t="n">
        <f aca="false">G498*F498</f>
        <v>606.1</v>
      </c>
      <c r="I498" s="28" t="n">
        <v>1.207</v>
      </c>
      <c r="J498" s="27" t="n">
        <f aca="false">ROUND(G498*I498,2)</f>
        <v>13.3</v>
      </c>
      <c r="K498" s="27" t="n">
        <f aca="false">J498*F498</f>
        <v>731.5</v>
      </c>
    </row>
    <row r="499" customFormat="false" ht="17.5" hidden="false" customHeight="false" outlineLevel="0" collapsed="false">
      <c r="A499" s="48" t="s">
        <v>752</v>
      </c>
      <c r="B499" s="24" t="s">
        <v>57</v>
      </c>
      <c r="C499" s="48" t="n">
        <v>93382</v>
      </c>
      <c r="D499" s="78" t="s">
        <v>692</v>
      </c>
      <c r="E499" s="48" t="s">
        <v>49</v>
      </c>
      <c r="F499" s="79" t="n">
        <v>5.51</v>
      </c>
      <c r="G499" s="27" t="n">
        <v>32.8</v>
      </c>
      <c r="H499" s="27" t="n">
        <f aca="false">G499*F499</f>
        <v>180.728</v>
      </c>
      <c r="I499" s="28" t="n">
        <v>1.207</v>
      </c>
      <c r="J499" s="27" t="n">
        <f aca="false">ROUND(G499*I499,2)</f>
        <v>39.59</v>
      </c>
      <c r="K499" s="27" t="n">
        <f aca="false">J499*F499</f>
        <v>218.1409</v>
      </c>
    </row>
    <row r="500" customFormat="false" ht="17.5" hidden="false" customHeight="false" outlineLevel="0" collapsed="false">
      <c r="A500" s="48" t="s">
        <v>753</v>
      </c>
      <c r="B500" s="30" t="s">
        <v>21</v>
      </c>
      <c r="C500" s="48" t="s">
        <v>754</v>
      </c>
      <c r="D500" s="78" t="s">
        <v>755</v>
      </c>
      <c r="E500" s="48" t="s">
        <v>685</v>
      </c>
      <c r="F500" s="79" t="n">
        <v>2</v>
      </c>
      <c r="G500" s="80" t="n">
        <f aca="false">422.73/1.23</f>
        <v>343.682926829268</v>
      </c>
      <c r="H500" s="27" t="n">
        <f aca="false">G500*F500</f>
        <v>687.365853658537</v>
      </c>
      <c r="I500" s="28" t="n">
        <v>1.207</v>
      </c>
      <c r="J500" s="27" t="n">
        <f aca="false">ROUND(G500*I500,2)</f>
        <v>414.83</v>
      </c>
      <c r="K500" s="27" t="n">
        <f aca="false">J500*F500</f>
        <v>829.66</v>
      </c>
    </row>
    <row r="501" customFormat="false" ht="17.5" hidden="false" customHeight="false" outlineLevel="0" collapsed="false">
      <c r="A501" s="48" t="s">
        <v>756</v>
      </c>
      <c r="B501" s="30" t="s">
        <v>21</v>
      </c>
      <c r="C501" s="81" t="s">
        <v>757</v>
      </c>
      <c r="D501" s="82" t="s">
        <v>758</v>
      </c>
      <c r="E501" s="48" t="s">
        <v>685</v>
      </c>
      <c r="F501" s="79" t="n">
        <v>2</v>
      </c>
      <c r="G501" s="83" t="n">
        <f aca="false"> 544.97/1.23</f>
        <v>443.065040650407</v>
      </c>
      <c r="H501" s="27" t="n">
        <f aca="false">G501*F501</f>
        <v>886.130081300813</v>
      </c>
      <c r="I501" s="28" t="n">
        <v>1.207</v>
      </c>
      <c r="J501" s="27" t="n">
        <f aca="false">ROUND(G501*I501,2)</f>
        <v>534.78</v>
      </c>
      <c r="K501" s="27" t="n">
        <f aca="false">J501*F501</f>
        <v>1069.56</v>
      </c>
    </row>
    <row r="502" customFormat="false" ht="17.5" hidden="false" customHeight="false" outlineLevel="0" collapsed="false">
      <c r="A502" s="48" t="s">
        <v>759</v>
      </c>
      <c r="B502" s="30" t="s">
        <v>21</v>
      </c>
      <c r="C502" s="81" t="s">
        <v>760</v>
      </c>
      <c r="D502" s="82" t="s">
        <v>761</v>
      </c>
      <c r="E502" s="48" t="s">
        <v>685</v>
      </c>
      <c r="F502" s="79" t="n">
        <v>4</v>
      </c>
      <c r="G502" s="83" t="n">
        <f aca="false"> 262.21/1.23</f>
        <v>213.178861788618</v>
      </c>
      <c r="H502" s="27" t="n">
        <f aca="false">G502*F502</f>
        <v>852.715447154472</v>
      </c>
      <c r="I502" s="28" t="n">
        <v>1.207</v>
      </c>
      <c r="J502" s="27" t="n">
        <f aca="false">ROUND(G502*I502,2)</f>
        <v>257.31</v>
      </c>
      <c r="K502" s="27" t="n">
        <f aca="false">J502*F502</f>
        <v>1029.24</v>
      </c>
    </row>
    <row r="503" customFormat="false" ht="17.5" hidden="false" customHeight="false" outlineLevel="0" collapsed="false">
      <c r="A503" s="48" t="s">
        <v>762</v>
      </c>
      <c r="B503" s="24" t="s">
        <v>57</v>
      </c>
      <c r="C503" s="48" t="n">
        <v>91929</v>
      </c>
      <c r="D503" s="78" t="s">
        <v>694</v>
      </c>
      <c r="E503" s="48" t="s">
        <v>24</v>
      </c>
      <c r="F503" s="79" t="n">
        <v>135</v>
      </c>
      <c r="G503" s="80" t="n">
        <v>7.91</v>
      </c>
      <c r="H503" s="27" t="n">
        <f aca="false">G503*F503</f>
        <v>1067.85</v>
      </c>
      <c r="I503" s="28" t="n">
        <v>1.207</v>
      </c>
      <c r="J503" s="27" t="n">
        <f aca="false">ROUND(G503*I503,2)</f>
        <v>9.55</v>
      </c>
      <c r="K503" s="27" t="n">
        <f aca="false">J503*F503</f>
        <v>1289.25</v>
      </c>
    </row>
    <row r="504" customFormat="false" ht="17.5" hidden="false" customHeight="false" outlineLevel="0" collapsed="false">
      <c r="A504" s="48" t="s">
        <v>763</v>
      </c>
      <c r="B504" s="30" t="s">
        <v>21</v>
      </c>
      <c r="C504" s="48" t="s">
        <v>764</v>
      </c>
      <c r="D504" s="78" t="s">
        <v>765</v>
      </c>
      <c r="E504" s="48" t="s">
        <v>685</v>
      </c>
      <c r="F504" s="79" t="n">
        <v>2</v>
      </c>
      <c r="G504" s="80" t="n">
        <f aca="false">285.78/1.23</f>
        <v>232.341463414634</v>
      </c>
      <c r="H504" s="27" t="n">
        <f aca="false">G504*F504</f>
        <v>464.682926829268</v>
      </c>
      <c r="I504" s="28" t="n">
        <v>1.207</v>
      </c>
      <c r="J504" s="27" t="n">
        <f aca="false">ROUND(G504*I504,2)</f>
        <v>280.44</v>
      </c>
      <c r="K504" s="27" t="n">
        <f aca="false">J504*F504</f>
        <v>560.88</v>
      </c>
    </row>
    <row r="505" customFormat="false" ht="17.5" hidden="false" customHeight="false" outlineLevel="0" collapsed="false">
      <c r="A505" s="48" t="s">
        <v>766</v>
      </c>
      <c r="B505" s="24" t="s">
        <v>57</v>
      </c>
      <c r="C505" s="48" t="n">
        <v>93644</v>
      </c>
      <c r="D505" s="78" t="s">
        <v>767</v>
      </c>
      <c r="E505" s="48" t="s">
        <v>685</v>
      </c>
      <c r="F505" s="79" t="n">
        <v>2</v>
      </c>
      <c r="G505" s="80" t="n">
        <v>82.73</v>
      </c>
      <c r="H505" s="27" t="n">
        <f aca="false">G505*F505</f>
        <v>165.46</v>
      </c>
      <c r="I505" s="28" t="n">
        <v>1.207</v>
      </c>
      <c r="J505" s="27" t="n">
        <f aca="false">ROUND(G505*I505,2)</f>
        <v>99.86</v>
      </c>
      <c r="K505" s="27" t="n">
        <f aca="false">J505*F505</f>
        <v>199.72</v>
      </c>
    </row>
    <row r="506" customFormat="false" ht="17.5" hidden="false" customHeight="false" outlineLevel="0" collapsed="false">
      <c r="A506" s="76" t="s">
        <v>768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</row>
    <row r="507" customFormat="false" ht="17.5" hidden="false" customHeight="false" outlineLevel="0" collapsed="false">
      <c r="A507" s="81" t="s">
        <v>769</v>
      </c>
      <c r="B507" s="30" t="s">
        <v>21</v>
      </c>
      <c r="C507" s="81" t="s">
        <v>770</v>
      </c>
      <c r="D507" s="82" t="s">
        <v>771</v>
      </c>
      <c r="E507" s="81" t="s">
        <v>39</v>
      </c>
      <c r="F507" s="85" t="n">
        <v>4</v>
      </c>
      <c r="G507" s="83" t="n">
        <f aca="false">156.65/1.23</f>
        <v>127.357723577236</v>
      </c>
      <c r="H507" s="86" t="n">
        <f aca="false">G507*F507</f>
        <v>509.430894308943</v>
      </c>
      <c r="I507" s="38" t="n">
        <v>1.207</v>
      </c>
      <c r="J507" s="86" t="n">
        <f aca="false">ROUND(G507*I507,2)</f>
        <v>153.72</v>
      </c>
      <c r="K507" s="86" t="n">
        <f aca="false">ROUND(J507*F507,2)</f>
        <v>614.88</v>
      </c>
    </row>
    <row r="508" customFormat="false" ht="17.5" hidden="false" customHeight="false" outlineLevel="0" collapsed="false">
      <c r="A508" s="81" t="s">
        <v>772</v>
      </c>
      <c r="B508" s="30" t="s">
        <v>21</v>
      </c>
      <c r="C508" s="81" t="s">
        <v>760</v>
      </c>
      <c r="D508" s="82" t="s">
        <v>761</v>
      </c>
      <c r="E508" s="81" t="s">
        <v>39</v>
      </c>
      <c r="F508" s="85" t="n">
        <v>4</v>
      </c>
      <c r="G508" s="83" t="n">
        <f aca="false"> 262.21/1.23</f>
        <v>213.178861788618</v>
      </c>
      <c r="H508" s="86" t="n">
        <f aca="false">G508*F508</f>
        <v>852.715447154472</v>
      </c>
      <c r="I508" s="38" t="n">
        <v>1.207</v>
      </c>
      <c r="J508" s="86" t="n">
        <f aca="false">ROUND(G508*I508,2)</f>
        <v>257.31</v>
      </c>
      <c r="K508" s="86" t="n">
        <f aca="false">ROUND(J508*F508,2)</f>
        <v>1029.24</v>
      </c>
    </row>
    <row r="509" customFormat="false" ht="17.5" hidden="false" customHeight="false" outlineLevel="0" collapsed="false">
      <c r="A509" s="81" t="s">
        <v>773</v>
      </c>
      <c r="B509" s="30" t="s">
        <v>21</v>
      </c>
      <c r="C509" s="81" t="s">
        <v>757</v>
      </c>
      <c r="D509" s="82" t="s">
        <v>758</v>
      </c>
      <c r="E509" s="81" t="s">
        <v>39</v>
      </c>
      <c r="F509" s="85" t="n">
        <v>10</v>
      </c>
      <c r="G509" s="83" t="n">
        <f aca="false"> 544.97/1.23</f>
        <v>443.065040650407</v>
      </c>
      <c r="H509" s="86" t="n">
        <f aca="false">G509*F509</f>
        <v>4430.65040650407</v>
      </c>
      <c r="I509" s="38" t="n">
        <v>1.207</v>
      </c>
      <c r="J509" s="86" t="n">
        <f aca="false">ROUND(G509*I509,2)</f>
        <v>534.78</v>
      </c>
      <c r="K509" s="86" t="n">
        <f aca="false">ROUND(J509*F509,2)</f>
        <v>5347.8</v>
      </c>
    </row>
    <row r="510" customFormat="false" ht="21.8" hidden="false" customHeight="false" outlineLevel="0" collapsed="false">
      <c r="A510" s="81" t="s">
        <v>774</v>
      </c>
      <c r="B510" s="24" t="s">
        <v>57</v>
      </c>
      <c r="C510" s="81" t="n">
        <v>93655</v>
      </c>
      <c r="D510" s="82" t="s">
        <v>775</v>
      </c>
      <c r="E510" s="81" t="s">
        <v>39</v>
      </c>
      <c r="F510" s="85" t="n">
        <v>5</v>
      </c>
      <c r="G510" s="83" t="n">
        <v>14.47</v>
      </c>
      <c r="H510" s="86" t="n">
        <f aca="false">G510*F510</f>
        <v>72.35</v>
      </c>
      <c r="I510" s="38" t="n">
        <v>1.207</v>
      </c>
      <c r="J510" s="86" t="n">
        <f aca="false">ROUND(G510*I510,2)</f>
        <v>17.47</v>
      </c>
      <c r="K510" s="86" t="n">
        <f aca="false">ROUND(J510*F510,2)</f>
        <v>87.35</v>
      </c>
    </row>
    <row r="511" customFormat="false" ht="21.8" hidden="false" customHeight="false" outlineLevel="0" collapsed="false">
      <c r="A511" s="81" t="s">
        <v>776</v>
      </c>
      <c r="B511" s="31" t="s">
        <v>26</v>
      </c>
      <c r="C511" s="81" t="s">
        <v>705</v>
      </c>
      <c r="D511" s="82" t="s">
        <v>706</v>
      </c>
      <c r="E511" s="81" t="s">
        <v>24</v>
      </c>
      <c r="F511" s="85" t="n">
        <f aca="false">((2.4+2.8+1.1+2.35+1.5+1.5+2.1+2.2+1.5+4.15+1.8+1+1+5.3+4.7+2.4+3.75+2+2+2.4+3.2+1.65+1.5+1.65+1)+(6*1.7))*1.25</f>
        <v>83.9375</v>
      </c>
      <c r="G511" s="83" t="n">
        <v>11.02</v>
      </c>
      <c r="H511" s="86" t="n">
        <f aca="false">G511*F511</f>
        <v>924.99125</v>
      </c>
      <c r="I511" s="38" t="n">
        <v>1.207</v>
      </c>
      <c r="J511" s="86" t="n">
        <f aca="false">ROUND(G511*I511,2)</f>
        <v>13.3</v>
      </c>
      <c r="K511" s="86" t="n">
        <f aca="false">ROUND(J511*F511,2)</f>
        <v>1116.37</v>
      </c>
    </row>
    <row r="512" customFormat="false" ht="21.8" hidden="false" customHeight="false" outlineLevel="0" collapsed="false">
      <c r="A512" s="81" t="s">
        <v>777</v>
      </c>
      <c r="B512" s="24" t="s">
        <v>57</v>
      </c>
      <c r="C512" s="81" t="n">
        <v>91927</v>
      </c>
      <c r="D512" s="82" t="s">
        <v>778</v>
      </c>
      <c r="E512" s="81" t="s">
        <v>24</v>
      </c>
      <c r="F512" s="85" t="n">
        <f aca="false">(21.35+29.65+21.6+64.35+32.55+10.2)*2.25</f>
        <v>404.325</v>
      </c>
      <c r="G512" s="83" t="n">
        <v>5.4</v>
      </c>
      <c r="H512" s="86" t="n">
        <f aca="false">G512*F512</f>
        <v>2183.355</v>
      </c>
      <c r="I512" s="38" t="n">
        <v>1.207</v>
      </c>
      <c r="J512" s="86" t="n">
        <f aca="false">ROUND(G512*I512,2)</f>
        <v>6.52</v>
      </c>
      <c r="K512" s="86" t="n">
        <f aca="false">ROUND(J512*F512,2)</f>
        <v>2636.2</v>
      </c>
    </row>
    <row r="513" customFormat="false" ht="17.5" hidden="false" customHeight="false" outlineLevel="0" collapsed="false">
      <c r="A513" s="32"/>
      <c r="B513" s="32"/>
      <c r="C513" s="32"/>
      <c r="D513" s="32"/>
      <c r="E513" s="32"/>
      <c r="F513" s="32"/>
      <c r="G513" s="33" t="s">
        <v>779</v>
      </c>
      <c r="H513" s="33"/>
      <c r="I513" s="33"/>
      <c r="J513" s="33"/>
      <c r="K513" s="75" t="n">
        <f aca="false">SUM(K454:K512)</f>
        <v>91915.5408</v>
      </c>
      <c r="L513" s="29"/>
      <c r="M513" s="29"/>
      <c r="N513" s="29"/>
      <c r="O513" s="29"/>
      <c r="P513" s="29"/>
    </row>
    <row r="514" customFormat="false" ht="17.5" hidden="false" customHeight="false" outlineLevel="0" collapsed="false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29"/>
      <c r="O514" s="29"/>
      <c r="P514" s="29"/>
    </row>
    <row r="515" customFormat="false" ht="17.5" hidden="false" customHeight="false" outlineLevel="0" collapsed="false">
      <c r="A515" s="20" t="n">
        <v>22</v>
      </c>
      <c r="B515" s="63" t="s">
        <v>780</v>
      </c>
      <c r="C515" s="63"/>
      <c r="D515" s="63"/>
      <c r="E515" s="63"/>
      <c r="F515" s="63"/>
      <c r="G515" s="63"/>
      <c r="H515" s="63"/>
      <c r="I515" s="63"/>
      <c r="J515" s="63"/>
      <c r="K515" s="63"/>
    </row>
    <row r="516" customFormat="false" ht="21.6" hidden="false" customHeight="false" outlineLevel="0" collapsed="false">
      <c r="A516" s="23" t="s">
        <v>781</v>
      </c>
      <c r="B516" s="31" t="s">
        <v>26</v>
      </c>
      <c r="C516" s="23" t="s">
        <v>47</v>
      </c>
      <c r="D516" s="25" t="s">
        <v>48</v>
      </c>
      <c r="E516" s="23" t="s">
        <v>49</v>
      </c>
      <c r="F516" s="26" t="n">
        <f aca="false">SUM(10.62*18.55)*2*0.2</f>
        <v>78.8004</v>
      </c>
      <c r="G516" s="40" t="n">
        <v>126.6</v>
      </c>
      <c r="H516" s="37" t="n">
        <f aca="false">F516*G516</f>
        <v>9976.13064</v>
      </c>
      <c r="I516" s="38" t="n">
        <v>1.207</v>
      </c>
      <c r="J516" s="37" t="n">
        <f aca="false">ROUND(G516*I516,2)</f>
        <v>152.81</v>
      </c>
      <c r="K516" s="37" t="n">
        <f aca="false">J516*F516</f>
        <v>12041.489124</v>
      </c>
    </row>
    <row r="517" customFormat="false" ht="17.5" hidden="false" customHeight="false" outlineLevel="0" collapsed="false">
      <c r="A517" s="23" t="s">
        <v>782</v>
      </c>
      <c r="B517" s="31" t="s">
        <v>26</v>
      </c>
      <c r="C517" s="23" t="s">
        <v>51</v>
      </c>
      <c r="D517" s="41" t="s">
        <v>52</v>
      </c>
      <c r="E517" s="23" t="s">
        <v>49</v>
      </c>
      <c r="F517" s="26" t="n">
        <f aca="false">SUM(10.62*18.55)*2*0.2</f>
        <v>78.8004</v>
      </c>
      <c r="G517" s="37" t="n">
        <v>30.55</v>
      </c>
      <c r="H517" s="37" t="n">
        <f aca="false">F517*G517</f>
        <v>2407.35222</v>
      </c>
      <c r="I517" s="38" t="n">
        <v>1.207</v>
      </c>
      <c r="J517" s="37" t="n">
        <f aca="false">ROUND(G517*I517,2)</f>
        <v>36.87</v>
      </c>
      <c r="K517" s="37" t="n">
        <f aca="false">J517*F517</f>
        <v>2905.370748</v>
      </c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customFormat="false" ht="21.6" hidden="false" customHeight="false" outlineLevel="0" collapsed="false">
      <c r="A518" s="23" t="s">
        <v>783</v>
      </c>
      <c r="B518" s="24" t="s">
        <v>57</v>
      </c>
      <c r="C518" s="23" t="n">
        <v>102690</v>
      </c>
      <c r="D518" s="41" t="s">
        <v>784</v>
      </c>
      <c r="E518" s="23" t="s">
        <v>24</v>
      </c>
      <c r="F518" s="36" t="n">
        <v>94.32</v>
      </c>
      <c r="G518" s="37" t="n">
        <v>65.22</v>
      </c>
      <c r="H518" s="37" t="n">
        <f aca="false">F518*G518</f>
        <v>6151.5504</v>
      </c>
      <c r="I518" s="38" t="n">
        <v>1.207</v>
      </c>
      <c r="J518" s="37" t="n">
        <f aca="false">ROUND(G518*I518,2)</f>
        <v>78.72</v>
      </c>
      <c r="K518" s="37" t="n">
        <f aca="false">J518*F518</f>
        <v>7424.8704</v>
      </c>
    </row>
    <row r="519" customFormat="false" ht="17.5" hidden="false" customHeight="false" outlineLevel="0" collapsed="false">
      <c r="A519" s="23" t="s">
        <v>785</v>
      </c>
      <c r="B519" s="24" t="s">
        <v>57</v>
      </c>
      <c r="C519" s="23" t="n">
        <v>93358</v>
      </c>
      <c r="D519" s="41" t="s">
        <v>786</v>
      </c>
      <c r="E519" s="23" t="s">
        <v>24</v>
      </c>
      <c r="F519" s="36" t="n">
        <v>8</v>
      </c>
      <c r="G519" s="37" t="n">
        <v>115.98</v>
      </c>
      <c r="H519" s="37" t="n">
        <f aca="false">F519*G519</f>
        <v>927.84</v>
      </c>
      <c r="I519" s="38" t="n">
        <v>1.207</v>
      </c>
      <c r="J519" s="37" t="n">
        <f aca="false">ROUND(G519*I519,2)</f>
        <v>139.99</v>
      </c>
      <c r="K519" s="37" t="n">
        <f aca="false">J519*F519</f>
        <v>1119.92</v>
      </c>
    </row>
    <row r="520" customFormat="false" ht="17.5" hidden="false" customHeight="false" outlineLevel="0" collapsed="false">
      <c r="A520" s="23" t="s">
        <v>787</v>
      </c>
      <c r="B520" s="24" t="s">
        <v>57</v>
      </c>
      <c r="C520" s="23" t="n">
        <v>102719</v>
      </c>
      <c r="D520" s="41" t="s">
        <v>788</v>
      </c>
      <c r="E520" s="23" t="s">
        <v>49</v>
      </c>
      <c r="F520" s="36" t="n">
        <v>41.8</v>
      </c>
      <c r="G520" s="37" t="n">
        <v>131.13</v>
      </c>
      <c r="H520" s="37" t="n">
        <f aca="false">F520*G520</f>
        <v>5481.234</v>
      </c>
      <c r="I520" s="38" t="n">
        <v>1.207</v>
      </c>
      <c r="J520" s="37" t="n">
        <f aca="false">ROUND(G520*I520,2)</f>
        <v>158.27</v>
      </c>
      <c r="K520" s="37" t="n">
        <f aca="false">J520*F520</f>
        <v>6615.686</v>
      </c>
    </row>
    <row r="521" customFormat="false" ht="17.5" hidden="false" customHeight="false" outlineLevel="0" collapsed="false">
      <c r="A521" s="23" t="s">
        <v>789</v>
      </c>
      <c r="B521" s="24" t="s">
        <v>57</v>
      </c>
      <c r="C521" s="23" t="n">
        <v>102712</v>
      </c>
      <c r="D521" s="41" t="s">
        <v>790</v>
      </c>
      <c r="E521" s="23" t="s">
        <v>19</v>
      </c>
      <c r="F521" s="36" t="n">
        <v>418</v>
      </c>
      <c r="G521" s="37" t="n">
        <v>9.31</v>
      </c>
      <c r="H521" s="37" t="n">
        <f aca="false">F521*G521</f>
        <v>3891.58</v>
      </c>
      <c r="I521" s="38" t="n">
        <v>1.207</v>
      </c>
      <c r="J521" s="37" t="n">
        <f aca="false">ROUND(G521*I521,2)</f>
        <v>11.24</v>
      </c>
      <c r="K521" s="37" t="n">
        <f aca="false">J521*F521</f>
        <v>4698.32</v>
      </c>
    </row>
    <row r="522" customFormat="false" ht="17.5" hidden="false" customHeight="false" outlineLevel="0" collapsed="false">
      <c r="A522" s="23" t="s">
        <v>791</v>
      </c>
      <c r="B522" s="24" t="s">
        <v>57</v>
      </c>
      <c r="C522" s="23" t="n">
        <v>102718</v>
      </c>
      <c r="D522" s="41" t="s">
        <v>792</v>
      </c>
      <c r="E522" s="23" t="s">
        <v>49</v>
      </c>
      <c r="F522" s="36" t="n">
        <v>125.4</v>
      </c>
      <c r="G522" s="37" t="n">
        <v>132.04</v>
      </c>
      <c r="H522" s="37" t="n">
        <f aca="false">F522*G522</f>
        <v>16557.816</v>
      </c>
      <c r="I522" s="38" t="n">
        <v>1.207</v>
      </c>
      <c r="J522" s="37" t="n">
        <f aca="false">ROUND(G522*I522,2)</f>
        <v>159.37</v>
      </c>
      <c r="K522" s="37" t="n">
        <f aca="false">J522*F522</f>
        <v>19984.998</v>
      </c>
    </row>
    <row r="523" customFormat="false" ht="17.5" hidden="false" customHeight="false" outlineLevel="0" collapsed="false">
      <c r="A523" s="87"/>
      <c r="B523" s="87"/>
      <c r="C523" s="87"/>
      <c r="D523" s="87"/>
      <c r="E523" s="87"/>
      <c r="F523" s="87"/>
      <c r="G523" s="33" t="s">
        <v>793</v>
      </c>
      <c r="H523" s="33"/>
      <c r="I523" s="33"/>
      <c r="J523" s="33"/>
      <c r="K523" s="75" t="n">
        <f aca="false">SUM(K516:K522)</f>
        <v>54790.654272</v>
      </c>
    </row>
    <row r="524" customFormat="false" ht="17.5" hidden="false" customHeight="false" outlineLevel="0" collapsed="false">
      <c r="A524" s="87"/>
      <c r="B524" s="87"/>
      <c r="C524" s="87"/>
      <c r="D524" s="87"/>
      <c r="E524" s="87"/>
      <c r="F524" s="87"/>
      <c r="G524" s="88" t="s">
        <v>794</v>
      </c>
      <c r="H524" s="88"/>
      <c r="I524" s="88"/>
      <c r="J524" s="88"/>
      <c r="K524" s="89" t="n">
        <f aca="false">K523+K513+K451+K371+K367+K361+K357+K314+K298+K255+K248+K234+K157+K147+K136+K125+K114+K41+K36+K28+K18+K10</f>
        <v>1754772.02389795</v>
      </c>
      <c r="L524" s="29"/>
      <c r="M524" s="29"/>
      <c r="N524" s="29"/>
      <c r="O524" s="29"/>
      <c r="P524" s="29"/>
    </row>
    <row r="525" customFormat="false" ht="116.4" hidden="false" customHeight="true" outlineLevel="0" collapsed="false">
      <c r="A525" s="90" t="s">
        <v>795</v>
      </c>
      <c r="B525" s="90"/>
      <c r="C525" s="90"/>
      <c r="D525" s="90"/>
      <c r="E525" s="90"/>
      <c r="F525" s="90"/>
      <c r="G525" s="90"/>
      <c r="H525" s="90"/>
      <c r="I525" s="90"/>
      <c r="J525" s="90"/>
      <c r="K525" s="90"/>
    </row>
    <row r="526" customFormat="false" ht="17.5" hidden="false" customHeight="false" outlineLevel="0" collapsed="false">
      <c r="A526" s="91"/>
      <c r="B526" s="91"/>
      <c r="C526" s="91"/>
      <c r="D526" s="92"/>
      <c r="E526" s="91"/>
      <c r="F526" s="93"/>
      <c r="G526" s="91"/>
      <c r="H526" s="91"/>
      <c r="I526" s="91"/>
      <c r="J526" s="91"/>
      <c r="K526" s="94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1">
    <mergeCell ref="A1:K1"/>
    <mergeCell ref="A2:K2"/>
    <mergeCell ref="A3:K3"/>
    <mergeCell ref="B5:J5"/>
    <mergeCell ref="A10:F10"/>
    <mergeCell ref="G10:J10"/>
    <mergeCell ref="A11:K11"/>
    <mergeCell ref="B12:J12"/>
    <mergeCell ref="A18:F18"/>
    <mergeCell ref="G18:J18"/>
    <mergeCell ref="A19:K19"/>
    <mergeCell ref="B20:J20"/>
    <mergeCell ref="A28:F28"/>
    <mergeCell ref="G28:J28"/>
    <mergeCell ref="A29:K29"/>
    <mergeCell ref="B30:J30"/>
    <mergeCell ref="A36:F36"/>
    <mergeCell ref="G36:J36"/>
    <mergeCell ref="A37:K37"/>
    <mergeCell ref="B38:J38"/>
    <mergeCell ref="A41:F41"/>
    <mergeCell ref="G41:J41"/>
    <mergeCell ref="A42:K42"/>
    <mergeCell ref="B43:J43"/>
    <mergeCell ref="A44:J44"/>
    <mergeCell ref="A54:J54"/>
    <mergeCell ref="A67:J67"/>
    <mergeCell ref="A74:J74"/>
    <mergeCell ref="A82:J82"/>
    <mergeCell ref="A91:J91"/>
    <mergeCell ref="A95:J95"/>
    <mergeCell ref="A100:J100"/>
    <mergeCell ref="A105:J105"/>
    <mergeCell ref="A108:J108"/>
    <mergeCell ref="A111:J111"/>
    <mergeCell ref="A114:F114"/>
    <mergeCell ref="G114:J114"/>
    <mergeCell ref="A115:K115"/>
    <mergeCell ref="B116:K116"/>
    <mergeCell ref="A125:F125"/>
    <mergeCell ref="G125:J125"/>
    <mergeCell ref="A126:K126"/>
    <mergeCell ref="B127:K127"/>
    <mergeCell ref="A136:F136"/>
    <mergeCell ref="G136:J136"/>
    <mergeCell ref="A137:K137"/>
    <mergeCell ref="B138:K138"/>
    <mergeCell ref="A147:F147"/>
    <mergeCell ref="G147:J147"/>
    <mergeCell ref="A148:K148"/>
    <mergeCell ref="B149:K149"/>
    <mergeCell ref="A157:F157"/>
    <mergeCell ref="G157:J157"/>
    <mergeCell ref="A158:K158"/>
    <mergeCell ref="B159:J159"/>
    <mergeCell ref="A160:J160"/>
    <mergeCell ref="A170:J170"/>
    <mergeCell ref="A183:J183"/>
    <mergeCell ref="A191:J191"/>
    <mergeCell ref="A199:J199"/>
    <mergeCell ref="A208:J208"/>
    <mergeCell ref="A211:J211"/>
    <mergeCell ref="A215:J215"/>
    <mergeCell ref="A220:J220"/>
    <mergeCell ref="A223:J223"/>
    <mergeCell ref="A228:J228"/>
    <mergeCell ref="A231:J231"/>
    <mergeCell ref="A234:F234"/>
    <mergeCell ref="G234:J234"/>
    <mergeCell ref="A235:K235"/>
    <mergeCell ref="B236:K236"/>
    <mergeCell ref="A248:F248"/>
    <mergeCell ref="G248:J248"/>
    <mergeCell ref="A249:K249"/>
    <mergeCell ref="B250:K250"/>
    <mergeCell ref="A255:F255"/>
    <mergeCell ref="G255:J255"/>
    <mergeCell ref="A256:K256"/>
    <mergeCell ref="B257:J257"/>
    <mergeCell ref="A258:J258"/>
    <mergeCell ref="A278:J278"/>
    <mergeCell ref="A298:F298"/>
    <mergeCell ref="G298:J298"/>
    <mergeCell ref="A299:K299"/>
    <mergeCell ref="A314:F314"/>
    <mergeCell ref="G314:J314"/>
    <mergeCell ref="A315:K315"/>
    <mergeCell ref="B316:J316"/>
    <mergeCell ref="A317:J317"/>
    <mergeCell ref="A326:J326"/>
    <mergeCell ref="A336:J336"/>
    <mergeCell ref="A354:J354"/>
    <mergeCell ref="A357:F357"/>
    <mergeCell ref="G357:J357"/>
    <mergeCell ref="A358:K358"/>
    <mergeCell ref="B359:J359"/>
    <mergeCell ref="A361:F361"/>
    <mergeCell ref="G361:J361"/>
    <mergeCell ref="A362:K362"/>
    <mergeCell ref="B363:J363"/>
    <mergeCell ref="A367:F367"/>
    <mergeCell ref="G367:J367"/>
    <mergeCell ref="A368:K368"/>
    <mergeCell ref="B369:J369"/>
    <mergeCell ref="A371:F371"/>
    <mergeCell ref="G371:J371"/>
    <mergeCell ref="A372:K372"/>
    <mergeCell ref="B373:J373"/>
    <mergeCell ref="A374:J374"/>
    <mergeCell ref="A376:J376"/>
    <mergeCell ref="A389:J389"/>
    <mergeCell ref="A393:J393"/>
    <mergeCell ref="A403:J403"/>
    <mergeCell ref="A415:J415"/>
    <mergeCell ref="A422:J422"/>
    <mergeCell ref="A434:J434"/>
    <mergeCell ref="A441:J441"/>
    <mergeCell ref="A447:J447"/>
    <mergeCell ref="A451:F451"/>
    <mergeCell ref="G451:J451"/>
    <mergeCell ref="A452:K452"/>
    <mergeCell ref="B453:K453"/>
    <mergeCell ref="A454:K454"/>
    <mergeCell ref="B455:C455"/>
    <mergeCell ref="A462:K462"/>
    <mergeCell ref="A472:K472"/>
    <mergeCell ref="B480:C480"/>
    <mergeCell ref="A484:K484"/>
    <mergeCell ref="A491:K491"/>
    <mergeCell ref="B494:C494"/>
    <mergeCell ref="A496:K496"/>
    <mergeCell ref="A506:K506"/>
    <mergeCell ref="A513:F513"/>
    <mergeCell ref="G513:J513"/>
    <mergeCell ref="A514:K514"/>
    <mergeCell ref="B515:K515"/>
    <mergeCell ref="A523:F523"/>
    <mergeCell ref="G523:J523"/>
    <mergeCell ref="A524:F524"/>
    <mergeCell ref="G524:J524"/>
    <mergeCell ref="A525:K525"/>
  </mergeCells>
  <printOptions headings="false" gridLines="false" gridLinesSet="true" horizontalCentered="false" verticalCentered="false"/>
  <pageMargins left="0.511805555555556" right="0.511805555555556" top="0.511805555555556" bottom="0.511805555555556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false" showOutlineSymbols="true" defaultGridColor="true" view="pageBreakPreview" topLeftCell="A453" colorId="64" zoomScale="130" zoomScaleNormal="120" zoomScalePageLayoutView="130" workbookViewId="0">
      <selection pane="topLeft" activeCell="A514" activeCellId="0" sqref="A514"/>
    </sheetView>
  </sheetViews>
  <sheetFormatPr defaultColWidth="8.6796875" defaultRowHeight="13.8" zeroHeight="false" outlineLevelRow="0" outlineLevelCol="0"/>
  <cols>
    <col collapsed="false" customWidth="false" hidden="false" outlineLevel="0" max="1" min="1" style="1" width="8.68"/>
    <col collapsed="false" customWidth="false" hidden="true" outlineLevel="0" max="3" min="2" style="1" width="8.68"/>
    <col collapsed="false" customWidth="true" hidden="false" outlineLevel="0" max="4" min="4" style="2" width="52.13"/>
    <col collapsed="false" customWidth="true" hidden="false" outlineLevel="0" max="5" min="5" style="1" width="6.44"/>
    <col collapsed="false" customWidth="true" hidden="false" outlineLevel="0" max="6" min="6" style="3" width="6.85"/>
    <col collapsed="false" customWidth="true" hidden="false" outlineLevel="0" max="8" min="7" style="1" width="7.97"/>
    <col collapsed="false" customWidth="true" hidden="false" outlineLevel="0" max="9" min="9" style="4" width="10.06"/>
    <col collapsed="false" customWidth="true" hidden="false" outlineLevel="0" max="16384" min="16383" style="14" width="11.53"/>
  </cols>
  <sheetData>
    <row r="1" s="1" customFormat="true" ht="85.0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customFormat="false" ht="23.1" hidden="false" customHeight="true" outlineLevel="0" collapsed="false">
      <c r="A2" s="7" t="s">
        <v>796</v>
      </c>
      <c r="B2" s="7"/>
      <c r="C2" s="7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="10" customFormat="true" ht="33.75" hidden="false" customHeight="true" outlineLevel="0" collapsed="false">
      <c r="A3" s="95"/>
      <c r="B3" s="95"/>
      <c r="C3" s="95"/>
      <c r="D3" s="95"/>
      <c r="E3" s="95"/>
      <c r="F3" s="95"/>
      <c r="G3" s="95"/>
      <c r="H3" s="95"/>
      <c r="I3" s="95"/>
      <c r="K3" s="11"/>
      <c r="L3" s="12"/>
      <c r="M3" s="12"/>
      <c r="N3" s="13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customFormat="false" ht="14.9" hidden="false" customHeight="false" outlineLevel="0" collapsed="false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  <c r="G4" s="18" t="s">
        <v>9</v>
      </c>
      <c r="H4" s="96" t="s">
        <v>797</v>
      </c>
      <c r="I4" s="96" t="s">
        <v>798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customFormat="false" ht="13.8" hidden="false" customHeight="false" outlineLevel="0" collapsed="false">
      <c r="A5" s="20" t="s">
        <v>14</v>
      </c>
      <c r="B5" s="21" t="s">
        <v>15</v>
      </c>
      <c r="C5" s="21"/>
      <c r="D5" s="21"/>
      <c r="E5" s="21"/>
      <c r="F5" s="21"/>
      <c r="G5" s="21"/>
      <c r="H5" s="21"/>
      <c r="I5" s="22"/>
    </row>
    <row r="6" customFormat="false" ht="14.9" hidden="false" customHeight="false" outlineLevel="0" collapsed="false">
      <c r="A6" s="23" t="s">
        <v>16</v>
      </c>
      <c r="B6" s="24" t="s">
        <v>17</v>
      </c>
      <c r="C6" s="23" t="n">
        <v>4813</v>
      </c>
      <c r="D6" s="25" t="s">
        <v>18</v>
      </c>
      <c r="E6" s="23" t="s">
        <v>19</v>
      </c>
      <c r="F6" s="26" t="n">
        <f aca="false">4*2</f>
        <v>8</v>
      </c>
      <c r="G6" s="27"/>
      <c r="H6" s="27"/>
      <c r="I6" s="27"/>
      <c r="K6" s="29"/>
      <c r="L6" s="29"/>
      <c r="M6" s="29"/>
      <c r="N6" s="2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customFormat="false" ht="14.9" hidden="false" customHeight="false" outlineLevel="0" collapsed="false">
      <c r="A7" s="23" t="s">
        <v>20</v>
      </c>
      <c r="B7" s="30" t="s">
        <v>21</v>
      </c>
      <c r="C7" s="23" t="s">
        <v>22</v>
      </c>
      <c r="D7" s="25" t="s">
        <v>23</v>
      </c>
      <c r="E7" s="23" t="s">
        <v>24</v>
      </c>
      <c r="F7" s="26" t="n">
        <v>80</v>
      </c>
      <c r="G7" s="27"/>
      <c r="H7" s="27"/>
      <c r="I7" s="27"/>
      <c r="K7" s="29"/>
      <c r="L7" s="29"/>
      <c r="M7" s="29"/>
      <c r="N7" s="2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customFormat="false" ht="13.8" hidden="false" customHeight="false" outlineLevel="0" collapsed="false">
      <c r="A8" s="23" t="s">
        <v>25</v>
      </c>
      <c r="B8" s="31" t="s">
        <v>26</v>
      </c>
      <c r="C8" s="23" t="s">
        <v>27</v>
      </c>
      <c r="D8" s="25" t="s">
        <v>28</v>
      </c>
      <c r="E8" s="23" t="s">
        <v>29</v>
      </c>
      <c r="F8" s="26" t="n">
        <v>11</v>
      </c>
      <c r="G8" s="27"/>
      <c r="H8" s="27"/>
      <c r="I8" s="27"/>
      <c r="K8" s="29"/>
      <c r="L8" s="29"/>
      <c r="M8" s="29"/>
      <c r="N8" s="2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</row>
    <row r="9" customFormat="false" ht="21.6" hidden="false" customHeight="false" outlineLevel="0" collapsed="false">
      <c r="A9" s="23" t="s">
        <v>30</v>
      </c>
      <c r="B9" s="31" t="s">
        <v>26</v>
      </c>
      <c r="C9" s="23" t="s">
        <v>31</v>
      </c>
      <c r="D9" s="25" t="s">
        <v>32</v>
      </c>
      <c r="E9" s="23" t="s">
        <v>29</v>
      </c>
      <c r="F9" s="26" t="n">
        <v>11</v>
      </c>
      <c r="G9" s="27"/>
      <c r="H9" s="27"/>
      <c r="I9" s="27"/>
      <c r="K9" s="29"/>
      <c r="L9" s="29"/>
      <c r="M9" s="29"/>
      <c r="N9" s="2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</row>
    <row r="10" customFormat="false" ht="13.8" hidden="false" customHeight="false" outlineLevel="0" collapsed="false">
      <c r="A10" s="32"/>
      <c r="B10" s="32"/>
      <c r="C10" s="32"/>
      <c r="D10" s="32"/>
      <c r="E10" s="32"/>
      <c r="F10" s="32"/>
      <c r="G10" s="33" t="s">
        <v>33</v>
      </c>
      <c r="H10" s="33"/>
      <c r="I10" s="34"/>
      <c r="K10" s="29"/>
      <c r="L10" s="29"/>
      <c r="M10" s="29"/>
      <c r="N10" s="29"/>
    </row>
    <row r="11" customFormat="false" ht="13.8" hidden="false" customHeight="false" outlineLevel="0" collapsed="false">
      <c r="A11" s="35"/>
      <c r="B11" s="35"/>
      <c r="C11" s="35"/>
      <c r="D11" s="35"/>
      <c r="E11" s="35"/>
      <c r="F11" s="35"/>
      <c r="G11" s="35"/>
      <c r="H11" s="35"/>
      <c r="I11" s="35"/>
      <c r="K11" s="29"/>
      <c r="L11" s="29"/>
      <c r="M11" s="29"/>
      <c r="N11" s="29"/>
    </row>
    <row r="12" customFormat="false" ht="13.8" hidden="false" customHeight="false" outlineLevel="0" collapsed="false">
      <c r="A12" s="20" t="s">
        <v>34</v>
      </c>
      <c r="B12" s="21" t="s">
        <v>35</v>
      </c>
      <c r="C12" s="21"/>
      <c r="D12" s="21"/>
      <c r="E12" s="21"/>
      <c r="F12" s="21"/>
      <c r="G12" s="21"/>
      <c r="H12" s="21"/>
      <c r="I12" s="22"/>
    </row>
    <row r="13" customFormat="false" ht="14.9" hidden="false" customHeight="false" outlineLevel="0" collapsed="false">
      <c r="A13" s="23" t="s">
        <v>36</v>
      </c>
      <c r="B13" s="30" t="s">
        <v>21</v>
      </c>
      <c r="C13" s="23" t="s">
        <v>37</v>
      </c>
      <c r="D13" s="25" t="s">
        <v>38</v>
      </c>
      <c r="E13" s="23" t="s">
        <v>39</v>
      </c>
      <c r="F13" s="36" t="n">
        <f aca="false">'MEMORIAL DE CALCULO'!F12</f>
        <v>3</v>
      </c>
      <c r="G13" s="37"/>
      <c r="H13" s="37"/>
      <c r="I13" s="3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customFormat="false" ht="14.9" hidden="false" customHeight="false" outlineLevel="0" collapsed="false">
      <c r="A14" s="23" t="s">
        <v>40</v>
      </c>
      <c r="B14" s="30" t="s">
        <v>21</v>
      </c>
      <c r="C14" s="23" t="s">
        <v>41</v>
      </c>
      <c r="D14" s="25" t="s">
        <v>42</v>
      </c>
      <c r="E14" s="23" t="s">
        <v>39</v>
      </c>
      <c r="F14" s="36" t="n">
        <f aca="false">'MEMORIAL DE CALCULO'!F13</f>
        <v>9</v>
      </c>
      <c r="G14" s="37"/>
      <c r="H14" s="37"/>
      <c r="I14" s="37"/>
    </row>
    <row r="15" customFormat="false" ht="13.8" hidden="false" customHeight="false" outlineLevel="0" collapsed="false">
      <c r="A15" s="23" t="s">
        <v>43</v>
      </c>
      <c r="B15" s="30" t="s">
        <v>21</v>
      </c>
      <c r="C15" s="23" t="s">
        <v>44</v>
      </c>
      <c r="D15" s="25" t="s">
        <v>45</v>
      </c>
      <c r="E15" s="23" t="s">
        <v>19</v>
      </c>
      <c r="F15" s="36" t="n">
        <f aca="false">'MEMORIAL DE CALCULO'!F14</f>
        <v>3695</v>
      </c>
      <c r="G15" s="37"/>
      <c r="H15" s="37"/>
      <c r="I15" s="37"/>
    </row>
    <row r="16" customFormat="false" ht="21.6" hidden="false" customHeight="false" outlineLevel="0" collapsed="false">
      <c r="A16" s="23" t="s">
        <v>46</v>
      </c>
      <c r="B16" s="31" t="s">
        <v>26</v>
      </c>
      <c r="C16" s="23" t="s">
        <v>47</v>
      </c>
      <c r="D16" s="25" t="s">
        <v>48</v>
      </c>
      <c r="E16" s="23" t="s">
        <v>49</v>
      </c>
      <c r="F16" s="26" t="n">
        <f aca="false">'MEMORIAL DE CALCULO'!F15</f>
        <v>552.25</v>
      </c>
      <c r="G16" s="40"/>
      <c r="H16" s="37"/>
      <c r="I16" s="37"/>
    </row>
    <row r="17" customFormat="false" ht="13.8" hidden="false" customHeight="false" outlineLevel="0" collapsed="false">
      <c r="A17" s="23" t="s">
        <v>50</v>
      </c>
      <c r="B17" s="31" t="s">
        <v>26</v>
      </c>
      <c r="C17" s="23" t="s">
        <v>51</v>
      </c>
      <c r="D17" s="41" t="s">
        <v>52</v>
      </c>
      <c r="E17" s="23" t="s">
        <v>49</v>
      </c>
      <c r="F17" s="36" t="n">
        <f aca="false">'MEMORIAL DE CALCULO'!F19</f>
        <v>552.25</v>
      </c>
      <c r="G17" s="37"/>
      <c r="H17" s="37"/>
      <c r="I17" s="3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customFormat="false" ht="13.8" hidden="false" customHeight="false" outlineLevel="0" collapsed="false">
      <c r="A18" s="32"/>
      <c r="B18" s="32"/>
      <c r="C18" s="32"/>
      <c r="D18" s="32"/>
      <c r="E18" s="32"/>
      <c r="F18" s="32"/>
      <c r="G18" s="33" t="s">
        <v>53</v>
      </c>
      <c r="H18" s="33"/>
      <c r="I18" s="34"/>
      <c r="K18" s="29"/>
      <c r="L18" s="29"/>
      <c r="M18" s="29"/>
      <c r="N18" s="29"/>
    </row>
    <row r="19" customFormat="false" ht="13.8" hidden="false" customHeight="false" outlineLevel="0" collapsed="false">
      <c r="A19" s="35"/>
      <c r="B19" s="35"/>
      <c r="C19" s="35"/>
      <c r="D19" s="35"/>
      <c r="E19" s="35"/>
      <c r="F19" s="35"/>
      <c r="G19" s="35"/>
      <c r="H19" s="35"/>
      <c r="I19" s="35"/>
      <c r="K19" s="29"/>
      <c r="L19" s="29"/>
      <c r="M19" s="29"/>
      <c r="N19" s="29"/>
    </row>
    <row r="20" customFormat="false" ht="13.8" hidden="false" customHeight="false" outlineLevel="0" collapsed="false">
      <c r="A20" s="20" t="s">
        <v>54</v>
      </c>
      <c r="B20" s="21" t="s">
        <v>55</v>
      </c>
      <c r="C20" s="21"/>
      <c r="D20" s="21"/>
      <c r="E20" s="21"/>
      <c r="F20" s="21"/>
      <c r="G20" s="21"/>
      <c r="H20" s="21"/>
      <c r="I20" s="22"/>
    </row>
    <row r="21" customFormat="false" ht="14.9" hidden="false" customHeight="false" outlineLevel="0" collapsed="false">
      <c r="A21" s="23" t="s">
        <v>56</v>
      </c>
      <c r="B21" s="24" t="s">
        <v>57</v>
      </c>
      <c r="C21" s="23" t="n">
        <v>104790</v>
      </c>
      <c r="D21" s="25" t="s">
        <v>58</v>
      </c>
      <c r="E21" s="23" t="s">
        <v>49</v>
      </c>
      <c r="F21" s="26" t="n">
        <f aca="false">SUM(527+47+120+25+126+53+150)*0.15</f>
        <v>157.2</v>
      </c>
      <c r="G21" s="27"/>
      <c r="H21" s="27"/>
      <c r="I21" s="27"/>
      <c r="K21" s="29"/>
      <c r="L21" s="29"/>
      <c r="M21" s="29"/>
      <c r="N21" s="2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</row>
    <row r="22" customFormat="false" ht="21.6" hidden="false" customHeight="false" outlineLevel="0" collapsed="false">
      <c r="A22" s="23" t="s">
        <v>59</v>
      </c>
      <c r="B22" s="31" t="s">
        <v>26</v>
      </c>
      <c r="C22" s="23" t="s">
        <v>47</v>
      </c>
      <c r="D22" s="25" t="s">
        <v>48</v>
      </c>
      <c r="E22" s="23" t="s">
        <v>49</v>
      </c>
      <c r="F22" s="26" t="n">
        <f aca="false">SUM(527+47+120+25+126+53+150)*0.15</f>
        <v>157.2</v>
      </c>
      <c r="G22" s="40"/>
      <c r="H22" s="27"/>
      <c r="I22" s="27"/>
    </row>
    <row r="23" customFormat="false" ht="13.8" hidden="false" customHeight="false" outlineLevel="0" collapsed="false">
      <c r="A23" s="23" t="s">
        <v>60</v>
      </c>
      <c r="B23" s="31" t="s">
        <v>26</v>
      </c>
      <c r="C23" s="23" t="s">
        <v>51</v>
      </c>
      <c r="D23" s="41" t="s">
        <v>52</v>
      </c>
      <c r="E23" s="23" t="s">
        <v>49</v>
      </c>
      <c r="F23" s="26" t="n">
        <f aca="false">SUM(527+47+120+25+126+53+150)*0.15</f>
        <v>157.2</v>
      </c>
      <c r="G23" s="37"/>
      <c r="H23" s="27"/>
      <c r="I23" s="27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</row>
    <row r="24" customFormat="false" ht="14.9" hidden="false" customHeight="false" outlineLevel="0" collapsed="false">
      <c r="A24" s="23" t="s">
        <v>61</v>
      </c>
      <c r="B24" s="24" t="s">
        <v>57</v>
      </c>
      <c r="C24" s="23" t="n">
        <v>100322</v>
      </c>
      <c r="D24" s="25" t="s">
        <v>62</v>
      </c>
      <c r="E24" s="23" t="s">
        <v>49</v>
      </c>
      <c r="F24" s="26" t="n">
        <f aca="false">(527+47+120+25+126+53+150)*0.03</f>
        <v>31.44</v>
      </c>
      <c r="G24" s="27"/>
      <c r="H24" s="27"/>
      <c r="I24" s="27"/>
      <c r="K24" s="29"/>
      <c r="L24" s="29"/>
      <c r="M24" s="29"/>
      <c r="N24" s="2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</row>
    <row r="25" customFormat="false" ht="13.8" hidden="false" customHeight="false" outlineLevel="0" collapsed="false">
      <c r="A25" s="23" t="s">
        <v>63</v>
      </c>
      <c r="B25" s="24" t="s">
        <v>64</v>
      </c>
      <c r="C25" s="23" t="n">
        <v>97113</v>
      </c>
      <c r="D25" s="25" t="s">
        <v>65</v>
      </c>
      <c r="E25" s="23" t="s">
        <v>19</v>
      </c>
      <c r="F25" s="26" t="n">
        <f aca="false">527+47+120+25+126+53+150</f>
        <v>1048</v>
      </c>
      <c r="G25" s="27"/>
      <c r="H25" s="27"/>
      <c r="I25" s="27"/>
      <c r="K25" s="42"/>
      <c r="L25" s="29"/>
      <c r="M25" s="29"/>
      <c r="N25" s="29"/>
    </row>
    <row r="26" customFormat="false" ht="14.9" hidden="false" customHeight="false" outlineLevel="0" collapsed="false">
      <c r="A26" s="23" t="s">
        <v>66</v>
      </c>
      <c r="B26" s="24" t="s">
        <v>57</v>
      </c>
      <c r="C26" s="23" t="n">
        <v>104626</v>
      </c>
      <c r="D26" s="25" t="s">
        <v>67</v>
      </c>
      <c r="E26" s="23" t="s">
        <v>49</v>
      </c>
      <c r="F26" s="26" t="n">
        <f aca="false">F25*0.1</f>
        <v>104.8</v>
      </c>
      <c r="G26" s="27"/>
      <c r="H26" s="27"/>
      <c r="I26" s="27"/>
      <c r="K26" s="29"/>
      <c r="L26" s="29"/>
      <c r="M26" s="29"/>
      <c r="N26" s="2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</row>
    <row r="27" customFormat="false" ht="13.8" hidden="false" customHeight="false" outlineLevel="0" collapsed="false">
      <c r="A27" s="23" t="s">
        <v>68</v>
      </c>
      <c r="B27" s="30" t="s">
        <v>21</v>
      </c>
      <c r="C27" s="23" t="s">
        <v>69</v>
      </c>
      <c r="D27" s="25" t="s">
        <v>70</v>
      </c>
      <c r="E27" s="23" t="s">
        <v>19</v>
      </c>
      <c r="F27" s="26" t="n">
        <f aca="false">F25</f>
        <v>1048</v>
      </c>
      <c r="G27" s="27"/>
      <c r="H27" s="27"/>
      <c r="I27" s="27"/>
      <c r="K27" s="29"/>
      <c r="L27" s="29"/>
      <c r="M27" s="29"/>
      <c r="N27" s="2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</row>
    <row r="28" customFormat="false" ht="13.8" hidden="false" customHeight="false" outlineLevel="0" collapsed="false">
      <c r="A28" s="32"/>
      <c r="B28" s="32"/>
      <c r="C28" s="32"/>
      <c r="D28" s="32"/>
      <c r="E28" s="32"/>
      <c r="F28" s="32"/>
      <c r="G28" s="33" t="s">
        <v>71</v>
      </c>
      <c r="H28" s="33"/>
      <c r="I28" s="34"/>
      <c r="K28" s="29"/>
      <c r="L28" s="29"/>
      <c r="M28" s="29"/>
      <c r="N28" s="29"/>
    </row>
    <row r="29" customFormat="false" ht="13.8" hidden="false" customHeight="false" outlineLevel="0" collapsed="false">
      <c r="A29" s="35"/>
      <c r="B29" s="35"/>
      <c r="C29" s="35"/>
      <c r="D29" s="35"/>
      <c r="E29" s="35"/>
      <c r="F29" s="35"/>
      <c r="G29" s="35"/>
      <c r="H29" s="35"/>
      <c r="I29" s="35"/>
      <c r="K29" s="29"/>
      <c r="L29" s="29"/>
      <c r="M29" s="29"/>
      <c r="N29" s="29"/>
    </row>
    <row r="30" customFormat="false" ht="13.8" hidden="false" customHeight="false" outlineLevel="0" collapsed="false">
      <c r="A30" s="20" t="s">
        <v>72</v>
      </c>
      <c r="B30" s="21" t="s">
        <v>73</v>
      </c>
      <c r="C30" s="21"/>
      <c r="D30" s="21"/>
      <c r="E30" s="21"/>
      <c r="F30" s="21"/>
      <c r="G30" s="21"/>
      <c r="H30" s="21"/>
      <c r="I30" s="22"/>
    </row>
    <row r="31" customFormat="false" ht="13.8" hidden="false" customHeight="false" outlineLevel="0" collapsed="false">
      <c r="A31" s="23" t="s">
        <v>74</v>
      </c>
      <c r="B31" s="31" t="s">
        <v>26</v>
      </c>
      <c r="C31" s="23" t="s">
        <v>75</v>
      </c>
      <c r="D31" s="41" t="s">
        <v>76</v>
      </c>
      <c r="E31" s="23" t="s">
        <v>19</v>
      </c>
      <c r="F31" s="36" t="n">
        <f aca="false">1153+148+1266</f>
        <v>2567</v>
      </c>
      <c r="G31" s="37"/>
      <c r="H31" s="37"/>
      <c r="I31" s="37"/>
    </row>
    <row r="32" customFormat="false" ht="13.8" hidden="false" customHeight="false" outlineLevel="0" collapsed="false">
      <c r="A32" s="23" t="s">
        <v>77</v>
      </c>
      <c r="B32" s="31" t="s">
        <v>26</v>
      </c>
      <c r="C32" s="23" t="s">
        <v>78</v>
      </c>
      <c r="D32" s="41" t="s">
        <v>79</v>
      </c>
      <c r="E32" s="23" t="s">
        <v>19</v>
      </c>
      <c r="F32" s="36" t="n">
        <f aca="false">1153+148+1266</f>
        <v>2567</v>
      </c>
      <c r="G32" s="37"/>
      <c r="H32" s="37"/>
      <c r="I32" s="37"/>
    </row>
    <row r="33" customFormat="false" ht="14.9" hidden="false" customHeight="false" outlineLevel="0" collapsed="false">
      <c r="A33" s="23" t="s">
        <v>80</v>
      </c>
      <c r="B33" s="24" t="s">
        <v>57</v>
      </c>
      <c r="C33" s="23" t="n">
        <v>95995</v>
      </c>
      <c r="D33" s="41" t="s">
        <v>81</v>
      </c>
      <c r="E33" s="23" t="s">
        <v>49</v>
      </c>
      <c r="F33" s="36" t="n">
        <f aca="false">(1153+148)*0.03+(1266/2)*0.03</f>
        <v>58.02</v>
      </c>
      <c r="G33" s="37"/>
      <c r="H33" s="37"/>
      <c r="I33" s="37"/>
    </row>
    <row r="34" customFormat="false" ht="14.9" hidden="false" customHeight="false" outlineLevel="0" collapsed="false">
      <c r="A34" s="23" t="s">
        <v>82</v>
      </c>
      <c r="B34" s="24" t="s">
        <v>57</v>
      </c>
      <c r="C34" s="23" t="n">
        <v>93590</v>
      </c>
      <c r="D34" s="41" t="s">
        <v>83</v>
      </c>
      <c r="E34" s="23" t="s">
        <v>84</v>
      </c>
      <c r="F34" s="36" t="n">
        <f aca="false">F33*100</f>
        <v>5802</v>
      </c>
      <c r="G34" s="37"/>
      <c r="H34" s="37"/>
      <c r="I34" s="37"/>
    </row>
    <row r="35" customFormat="false" ht="13.8" hidden="false" customHeight="false" outlineLevel="0" collapsed="false">
      <c r="A35" s="23" t="s">
        <v>85</v>
      </c>
      <c r="B35" s="24" t="s">
        <v>57</v>
      </c>
      <c r="C35" s="23" t="n">
        <v>100986</v>
      </c>
      <c r="D35" s="41" t="s">
        <v>86</v>
      </c>
      <c r="E35" s="23" t="s">
        <v>49</v>
      </c>
      <c r="F35" s="36" t="n">
        <f aca="false">F33</f>
        <v>58.02</v>
      </c>
      <c r="G35" s="37"/>
      <c r="H35" s="37"/>
      <c r="I35" s="37"/>
    </row>
    <row r="36" customFormat="false" ht="13.8" hidden="false" customHeight="false" outlineLevel="0" collapsed="false">
      <c r="A36" s="32"/>
      <c r="B36" s="32"/>
      <c r="C36" s="32"/>
      <c r="D36" s="32"/>
      <c r="E36" s="32"/>
      <c r="F36" s="32"/>
      <c r="G36" s="33" t="s">
        <v>87</v>
      </c>
      <c r="H36" s="33"/>
      <c r="I36" s="34"/>
      <c r="K36" s="29"/>
      <c r="L36" s="29"/>
      <c r="M36" s="29"/>
      <c r="N36" s="29"/>
    </row>
    <row r="37" customFormat="false" ht="13.8" hidden="false" customHeight="false" outlineLevel="0" collapsed="false">
      <c r="A37" s="35"/>
      <c r="B37" s="35"/>
      <c r="C37" s="35"/>
      <c r="D37" s="35"/>
      <c r="E37" s="35"/>
      <c r="F37" s="35"/>
      <c r="G37" s="35"/>
      <c r="H37" s="35"/>
      <c r="I37" s="35"/>
      <c r="K37" s="29"/>
      <c r="L37" s="29"/>
      <c r="M37" s="29"/>
      <c r="N37" s="29"/>
    </row>
    <row r="38" customFormat="false" ht="13.8" hidden="false" customHeight="false" outlineLevel="0" collapsed="false">
      <c r="A38" s="20" t="s">
        <v>88</v>
      </c>
      <c r="B38" s="21" t="s">
        <v>89</v>
      </c>
      <c r="C38" s="21"/>
      <c r="D38" s="21"/>
      <c r="E38" s="21"/>
      <c r="F38" s="21"/>
      <c r="G38" s="21"/>
      <c r="H38" s="21"/>
      <c r="I38" s="22"/>
    </row>
    <row r="39" customFormat="false" ht="21.6" hidden="false" customHeight="false" outlineLevel="0" collapsed="false">
      <c r="A39" s="23" t="s">
        <v>90</v>
      </c>
      <c r="B39" s="24" t="s">
        <v>57</v>
      </c>
      <c r="C39" s="23" t="n">
        <v>94304</v>
      </c>
      <c r="D39" s="41" t="s">
        <v>91</v>
      </c>
      <c r="E39" s="23" t="s">
        <v>49</v>
      </c>
      <c r="F39" s="36" t="n">
        <v>24.95</v>
      </c>
      <c r="G39" s="37"/>
      <c r="H39" s="37"/>
      <c r="I39" s="37"/>
    </row>
    <row r="40" customFormat="false" ht="13.8" hidden="false" customHeight="false" outlineLevel="0" collapsed="false">
      <c r="A40" s="23" t="s">
        <v>92</v>
      </c>
      <c r="B40" s="24" t="s">
        <v>57</v>
      </c>
      <c r="C40" s="23" t="n">
        <v>98504</v>
      </c>
      <c r="D40" s="41" t="s">
        <v>93</v>
      </c>
      <c r="E40" s="23" t="s">
        <v>19</v>
      </c>
      <c r="F40" s="36" t="n">
        <v>243.98</v>
      </c>
      <c r="G40" s="37"/>
      <c r="H40" s="37"/>
      <c r="I40" s="37"/>
    </row>
    <row r="41" customFormat="false" ht="13.8" hidden="false" customHeight="false" outlineLevel="0" collapsed="false">
      <c r="A41" s="32"/>
      <c r="B41" s="32"/>
      <c r="C41" s="32"/>
      <c r="D41" s="32"/>
      <c r="E41" s="32"/>
      <c r="F41" s="32"/>
      <c r="G41" s="33" t="s">
        <v>94</v>
      </c>
      <c r="H41" s="33"/>
      <c r="I41" s="34"/>
      <c r="K41" s="29"/>
      <c r="L41" s="29"/>
      <c r="M41" s="29"/>
      <c r="N41" s="29"/>
    </row>
    <row r="42" customFormat="false" ht="13.8" hidden="false" customHeight="false" outlineLevel="0" collapsed="false">
      <c r="A42" s="35"/>
      <c r="B42" s="35"/>
      <c r="C42" s="35"/>
      <c r="D42" s="35"/>
      <c r="E42" s="35"/>
      <c r="F42" s="35"/>
      <c r="G42" s="35"/>
      <c r="H42" s="35"/>
      <c r="I42" s="35"/>
      <c r="K42" s="29"/>
      <c r="L42" s="29"/>
      <c r="M42" s="29"/>
      <c r="N42" s="29"/>
    </row>
    <row r="43" customFormat="false" ht="13.8" hidden="false" customHeight="false" outlineLevel="0" collapsed="false">
      <c r="A43" s="20" t="s">
        <v>95</v>
      </c>
      <c r="B43" s="21" t="s">
        <v>96</v>
      </c>
      <c r="C43" s="21"/>
      <c r="D43" s="21"/>
      <c r="E43" s="21"/>
      <c r="F43" s="21"/>
      <c r="G43" s="21"/>
      <c r="H43" s="21"/>
      <c r="I43" s="22"/>
    </row>
    <row r="44" customFormat="false" ht="13.8" hidden="false" customHeight="false" outlineLevel="0" collapsed="false">
      <c r="A44" s="43" t="s">
        <v>97</v>
      </c>
      <c r="B44" s="43"/>
      <c r="C44" s="43"/>
      <c r="D44" s="43"/>
      <c r="E44" s="43"/>
      <c r="F44" s="43"/>
      <c r="G44" s="43"/>
      <c r="H44" s="43"/>
      <c r="I44" s="44"/>
      <c r="K44" s="29"/>
      <c r="L44" s="29"/>
      <c r="M44" s="29"/>
      <c r="N44" s="29"/>
    </row>
    <row r="45" customFormat="false" ht="13.8" hidden="false" customHeight="false" outlineLevel="0" collapsed="false">
      <c r="A45" s="23" t="s">
        <v>98</v>
      </c>
      <c r="B45" s="45" t="s">
        <v>21</v>
      </c>
      <c r="C45" s="23" t="s">
        <v>99</v>
      </c>
      <c r="D45" s="25" t="s">
        <v>100</v>
      </c>
      <c r="E45" s="23" t="s">
        <v>24</v>
      </c>
      <c r="F45" s="26" t="n">
        <f aca="false">'MEMORIAL DE CALCULO'!F44</f>
        <v>32</v>
      </c>
      <c r="G45" s="27"/>
      <c r="H45" s="27"/>
      <c r="I45" s="27"/>
      <c r="K45" s="29"/>
      <c r="L45" s="29"/>
      <c r="M45" s="29"/>
      <c r="N45" s="29"/>
    </row>
    <row r="46" customFormat="false" ht="13.8" hidden="false" customHeight="false" outlineLevel="0" collapsed="false">
      <c r="A46" s="23" t="s">
        <v>101</v>
      </c>
      <c r="B46" s="24" t="s">
        <v>57</v>
      </c>
      <c r="C46" s="23" t="n">
        <v>92800</v>
      </c>
      <c r="D46" s="25" t="s">
        <v>102</v>
      </c>
      <c r="E46" s="23" t="s">
        <v>103</v>
      </c>
      <c r="F46" s="26" t="n">
        <f aca="false">'MEMORIAL DE CALCULO'!F49</f>
        <v>34.1674666666667</v>
      </c>
      <c r="G46" s="27"/>
      <c r="H46" s="27"/>
      <c r="I46" s="27"/>
      <c r="K46" s="29"/>
      <c r="L46" s="29"/>
      <c r="M46" s="29"/>
      <c r="N46" s="29"/>
    </row>
    <row r="47" customFormat="false" ht="13.8" hidden="false" customHeight="false" outlineLevel="0" collapsed="false">
      <c r="A47" s="23" t="s">
        <v>104</v>
      </c>
      <c r="B47" s="24" t="s">
        <v>57</v>
      </c>
      <c r="C47" s="23" t="n">
        <v>92803</v>
      </c>
      <c r="D47" s="25" t="s">
        <v>105</v>
      </c>
      <c r="E47" s="23" t="s">
        <v>103</v>
      </c>
      <c r="F47" s="26" t="n">
        <f aca="false">'MEMORIAL DE CALCULO'!F55</f>
        <v>78.976</v>
      </c>
      <c r="G47" s="27"/>
      <c r="H47" s="27"/>
      <c r="I47" s="27"/>
      <c r="K47" s="29"/>
      <c r="L47" s="29"/>
      <c r="M47" s="29"/>
      <c r="N47" s="2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</row>
    <row r="48" customFormat="false" ht="14.9" hidden="false" customHeight="false" outlineLevel="0" collapsed="false">
      <c r="A48" s="23" t="s">
        <v>106</v>
      </c>
      <c r="B48" s="24" t="s">
        <v>57</v>
      </c>
      <c r="C48" s="23" t="n">
        <v>96526</v>
      </c>
      <c r="D48" s="25" t="s">
        <v>107</v>
      </c>
      <c r="E48" s="23" t="s">
        <v>49</v>
      </c>
      <c r="F48" s="26" t="n">
        <f aca="false">'MEMORIAL DE CALCULO'!F59</f>
        <v>1.608</v>
      </c>
      <c r="G48" s="27"/>
      <c r="H48" s="27"/>
      <c r="I48" s="27"/>
      <c r="K48" s="29"/>
      <c r="L48" s="29"/>
      <c r="M48" s="29"/>
      <c r="N48" s="29"/>
    </row>
    <row r="49" customFormat="false" ht="14.9" hidden="false" customHeight="false" outlineLevel="0" collapsed="false">
      <c r="A49" s="23" t="s">
        <v>108</v>
      </c>
      <c r="B49" s="24" t="s">
        <v>57</v>
      </c>
      <c r="C49" s="23" t="n">
        <v>101619</v>
      </c>
      <c r="D49" s="25" t="s">
        <v>109</v>
      </c>
      <c r="E49" s="23" t="s">
        <v>49</v>
      </c>
      <c r="F49" s="26" t="n">
        <f aca="false">'MEMORIAL DE CALCULO'!F63</f>
        <v>0.04824</v>
      </c>
      <c r="G49" s="27"/>
      <c r="H49" s="27"/>
      <c r="I49" s="27"/>
      <c r="K49" s="29"/>
      <c r="L49" s="29"/>
      <c r="M49" s="29"/>
      <c r="N49" s="29"/>
    </row>
    <row r="50" customFormat="false" ht="13.8" hidden="false" customHeight="false" outlineLevel="0" collapsed="false">
      <c r="A50" s="23" t="s">
        <v>110</v>
      </c>
      <c r="B50" s="24" t="s">
        <v>57</v>
      </c>
      <c r="C50" s="23" t="n">
        <v>92800</v>
      </c>
      <c r="D50" s="25" t="s">
        <v>102</v>
      </c>
      <c r="E50" s="23" t="s">
        <v>103</v>
      </c>
      <c r="F50" s="26" t="n">
        <f aca="false">'MEMORIAL DE CALCULO'!F65</f>
        <v>19.81056</v>
      </c>
      <c r="G50" s="27"/>
      <c r="H50" s="27"/>
      <c r="I50" s="27"/>
      <c r="K50" s="29"/>
      <c r="L50" s="29"/>
      <c r="M50" s="29"/>
      <c r="N50" s="29"/>
    </row>
    <row r="51" customFormat="false" ht="13.8" hidden="false" customHeight="false" outlineLevel="0" collapsed="false">
      <c r="A51" s="23" t="s">
        <v>111</v>
      </c>
      <c r="B51" s="24" t="s">
        <v>57</v>
      </c>
      <c r="C51" s="23" t="n">
        <v>92803</v>
      </c>
      <c r="D51" s="25" t="s">
        <v>105</v>
      </c>
      <c r="E51" s="23" t="s">
        <v>103</v>
      </c>
      <c r="F51" s="26" t="n">
        <f aca="false">'MEMORIAL DE CALCULO'!F70</f>
        <v>33.0712</v>
      </c>
      <c r="G51" s="27"/>
      <c r="H51" s="27"/>
      <c r="I51" s="27"/>
      <c r="K51" s="29"/>
      <c r="L51" s="29"/>
      <c r="M51" s="29"/>
      <c r="N51" s="2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</row>
    <row r="52" customFormat="false" ht="14.9" hidden="false" customHeight="false" outlineLevel="0" collapsed="false">
      <c r="A52" s="23" t="s">
        <v>112</v>
      </c>
      <c r="B52" s="47" t="s">
        <v>57</v>
      </c>
      <c r="C52" s="48" t="n">
        <v>96557</v>
      </c>
      <c r="D52" s="49" t="s">
        <v>113</v>
      </c>
      <c r="E52" s="48" t="s">
        <v>49</v>
      </c>
      <c r="F52" s="50" t="n">
        <f aca="false">'MEMORIAL DE CALCULO'!F74</f>
        <v>1.608</v>
      </c>
      <c r="G52" s="51"/>
      <c r="H52" s="27"/>
      <c r="I52" s="27"/>
      <c r="K52" s="52"/>
      <c r="L52" s="52"/>
      <c r="M52" s="52"/>
      <c r="N52" s="52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</row>
    <row r="53" customFormat="false" ht="14.9" hidden="false" customHeight="false" outlineLevel="0" collapsed="false">
      <c r="A53" s="23" t="s">
        <v>114</v>
      </c>
      <c r="B53" s="24" t="s">
        <v>57</v>
      </c>
      <c r="C53" s="23" t="n">
        <v>101165</v>
      </c>
      <c r="D53" s="25" t="s">
        <v>115</v>
      </c>
      <c r="E53" s="23" t="s">
        <v>49</v>
      </c>
      <c r="F53" s="26" t="n">
        <f aca="false">'MEMORIAL DE CALCULO'!F75</f>
        <v>1.1457</v>
      </c>
      <c r="G53" s="27"/>
      <c r="H53" s="27"/>
      <c r="I53" s="27"/>
      <c r="K53" s="29"/>
      <c r="L53" s="29"/>
      <c r="M53" s="29"/>
      <c r="N53" s="29"/>
    </row>
    <row r="54" customFormat="false" ht="13.8" hidden="false" customHeight="false" outlineLevel="0" collapsed="false">
      <c r="A54" s="43" t="s">
        <v>116</v>
      </c>
      <c r="B54" s="43"/>
      <c r="C54" s="43"/>
      <c r="D54" s="43"/>
      <c r="E54" s="43"/>
      <c r="F54" s="43"/>
      <c r="G54" s="43"/>
      <c r="H54" s="43"/>
      <c r="I54" s="44"/>
      <c r="K54" s="29"/>
      <c r="L54" s="29"/>
      <c r="M54" s="29"/>
      <c r="N54" s="29"/>
    </row>
    <row r="55" customFormat="false" ht="21.6" hidden="false" customHeight="false" outlineLevel="0" collapsed="false">
      <c r="A55" s="23" t="s">
        <v>117</v>
      </c>
      <c r="B55" s="24" t="s">
        <v>57</v>
      </c>
      <c r="C55" s="23" t="n">
        <v>92415</v>
      </c>
      <c r="D55" s="25" t="s">
        <v>118</v>
      </c>
      <c r="E55" s="23" t="s">
        <v>19</v>
      </c>
      <c r="F55" s="26" t="n">
        <f aca="false">'MEMORIAL DE CALCULO'!F79</f>
        <v>20</v>
      </c>
      <c r="G55" s="27"/>
      <c r="H55" s="27"/>
      <c r="I55" s="27"/>
      <c r="K55" s="29"/>
      <c r="L55" s="29"/>
      <c r="M55" s="29"/>
      <c r="N55" s="2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</row>
    <row r="56" customFormat="false" ht="13.8" hidden="false" customHeight="false" outlineLevel="0" collapsed="false">
      <c r="A56" s="23" t="s">
        <v>119</v>
      </c>
      <c r="B56" s="24" t="s">
        <v>57</v>
      </c>
      <c r="C56" s="23" t="n">
        <v>92800</v>
      </c>
      <c r="D56" s="25" t="s">
        <v>102</v>
      </c>
      <c r="E56" s="23" t="s">
        <v>103</v>
      </c>
      <c r="F56" s="26" t="n">
        <f aca="false">'MEMORIAL DE CALCULO'!F84</f>
        <v>42.7093333333333</v>
      </c>
      <c r="G56" s="27"/>
      <c r="H56" s="27"/>
      <c r="I56" s="27"/>
      <c r="K56" s="29"/>
      <c r="L56" s="29"/>
      <c r="M56" s="29"/>
      <c r="N56" s="29"/>
    </row>
    <row r="57" customFormat="false" ht="13.8" hidden="false" customHeight="false" outlineLevel="0" collapsed="false">
      <c r="A57" s="23" t="s">
        <v>120</v>
      </c>
      <c r="B57" s="24" t="s">
        <v>57</v>
      </c>
      <c r="C57" s="23" t="n">
        <v>92803</v>
      </c>
      <c r="D57" s="25" t="s">
        <v>105</v>
      </c>
      <c r="E57" s="23" t="s">
        <v>103</v>
      </c>
      <c r="F57" s="26" t="n">
        <f aca="false">'MEMORIAL DE CALCULO'!F89</f>
        <v>98.72</v>
      </c>
      <c r="G57" s="27"/>
      <c r="H57" s="27"/>
      <c r="I57" s="27"/>
      <c r="K57" s="29"/>
      <c r="L57" s="29"/>
      <c r="M57" s="29"/>
      <c r="N57" s="2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</row>
    <row r="58" customFormat="false" ht="14.9" hidden="false" customHeight="false" outlineLevel="0" collapsed="false">
      <c r="A58" s="23" t="s">
        <v>121</v>
      </c>
      <c r="B58" s="24" t="s">
        <v>57</v>
      </c>
      <c r="C58" s="23" t="n">
        <v>103672</v>
      </c>
      <c r="D58" s="25" t="s">
        <v>122</v>
      </c>
      <c r="E58" s="23" t="s">
        <v>49</v>
      </c>
      <c r="F58" s="26" t="n">
        <f aca="false">'MEMORIAL DE CALCULO'!F93</f>
        <v>2.5</v>
      </c>
      <c r="G58" s="27"/>
      <c r="H58" s="27"/>
      <c r="I58" s="27"/>
      <c r="K58" s="29"/>
      <c r="L58" s="29"/>
      <c r="M58" s="29"/>
      <c r="N58" s="29"/>
    </row>
    <row r="59" customFormat="false" ht="21.6" hidden="false" customHeight="false" outlineLevel="0" collapsed="false">
      <c r="A59" s="23" t="s">
        <v>123</v>
      </c>
      <c r="B59" s="24" t="s">
        <v>57</v>
      </c>
      <c r="C59" s="23" t="n">
        <v>103324</v>
      </c>
      <c r="D59" s="25" t="s">
        <v>124</v>
      </c>
      <c r="E59" s="23" t="s">
        <v>19</v>
      </c>
      <c r="F59" s="26" t="n">
        <f aca="false">'MEMORIAL DE CALCULO'!F94</f>
        <v>48.8</v>
      </c>
      <c r="G59" s="27"/>
      <c r="H59" s="27"/>
      <c r="I59" s="27"/>
      <c r="K59" s="29"/>
      <c r="L59" s="29"/>
      <c r="M59" s="29"/>
      <c r="N59" s="29"/>
    </row>
    <row r="60" customFormat="false" ht="13.8" hidden="false" customHeight="false" outlineLevel="0" collapsed="false">
      <c r="A60" s="23" t="s">
        <v>125</v>
      </c>
      <c r="B60" s="45" t="s">
        <v>21</v>
      </c>
      <c r="C60" s="54" t="s">
        <v>126</v>
      </c>
      <c r="D60" s="25" t="s">
        <v>127</v>
      </c>
      <c r="E60" s="23" t="s">
        <v>24</v>
      </c>
      <c r="F60" s="26" t="n">
        <f aca="false">'MEMORIAL DE CALCULO'!F100</f>
        <v>5.2</v>
      </c>
      <c r="G60" s="27"/>
      <c r="H60" s="27"/>
      <c r="I60" s="27"/>
      <c r="K60" s="29"/>
      <c r="L60" s="29"/>
      <c r="M60" s="29"/>
      <c r="N60" s="29"/>
    </row>
    <row r="61" customFormat="false" ht="21.6" hidden="false" customHeight="false" outlineLevel="0" collapsed="false">
      <c r="A61" s="23" t="s">
        <v>128</v>
      </c>
      <c r="B61" s="24" t="s">
        <v>57</v>
      </c>
      <c r="C61" s="23" t="n">
        <v>92451</v>
      </c>
      <c r="D61" s="25" t="s">
        <v>129</v>
      </c>
      <c r="E61" s="23" t="s">
        <v>19</v>
      </c>
      <c r="F61" s="26" t="n">
        <f aca="false">'MEMORIAL DE CALCULO'!F104</f>
        <v>8.4</v>
      </c>
      <c r="G61" s="27"/>
      <c r="H61" s="27"/>
      <c r="I61" s="27"/>
      <c r="K61" s="29"/>
      <c r="L61" s="29"/>
      <c r="M61" s="29"/>
      <c r="N61" s="29"/>
    </row>
    <row r="62" customFormat="false" ht="13.8" hidden="false" customHeight="false" outlineLevel="0" collapsed="false">
      <c r="A62" s="23" t="s">
        <v>130</v>
      </c>
      <c r="B62" s="24" t="s">
        <v>57</v>
      </c>
      <c r="C62" s="23" t="n">
        <v>92800</v>
      </c>
      <c r="D62" s="25" t="s">
        <v>102</v>
      </c>
      <c r="E62" s="23" t="s">
        <v>103</v>
      </c>
      <c r="F62" s="26" t="n">
        <f aca="false">'MEMORIAL DE CALCULO'!F108</f>
        <v>201.226666666667</v>
      </c>
      <c r="G62" s="27"/>
      <c r="H62" s="27"/>
      <c r="I62" s="27"/>
      <c r="K62" s="29"/>
      <c r="L62" s="29"/>
      <c r="M62" s="29"/>
      <c r="N62" s="29"/>
    </row>
    <row r="63" customFormat="false" ht="13.8" hidden="false" customHeight="false" outlineLevel="0" collapsed="false">
      <c r="A63" s="23" t="s">
        <v>131</v>
      </c>
      <c r="B63" s="24" t="s">
        <v>57</v>
      </c>
      <c r="C63" s="23" t="n">
        <v>92803</v>
      </c>
      <c r="D63" s="25" t="s">
        <v>105</v>
      </c>
      <c r="E63" s="23" t="s">
        <v>103</v>
      </c>
      <c r="F63" s="26" t="n">
        <f aca="false">'MEMORIAL DE CALCULO'!F115</f>
        <v>34.552</v>
      </c>
      <c r="G63" s="27"/>
      <c r="H63" s="27"/>
      <c r="I63" s="27"/>
      <c r="K63" s="29"/>
      <c r="L63" s="29"/>
      <c r="M63" s="29"/>
      <c r="N63" s="2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</row>
    <row r="64" customFormat="false" ht="13.8" hidden="false" customHeight="false" outlineLevel="0" collapsed="false">
      <c r="A64" s="23" t="s">
        <v>132</v>
      </c>
      <c r="B64" s="24" t="s">
        <v>57</v>
      </c>
      <c r="C64" s="23" t="n">
        <v>92804</v>
      </c>
      <c r="D64" s="25" t="s">
        <v>133</v>
      </c>
      <c r="E64" s="23" t="s">
        <v>103</v>
      </c>
      <c r="F64" s="26" t="n">
        <f aca="false">'MEMORIAL DE CALCULO'!F119</f>
        <v>26.964</v>
      </c>
      <c r="G64" s="27"/>
      <c r="H64" s="27"/>
      <c r="I64" s="27"/>
      <c r="K64" s="29"/>
      <c r="L64" s="29"/>
      <c r="M64" s="29"/>
      <c r="N64" s="2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</row>
    <row r="65" customFormat="false" ht="14.9" hidden="false" customHeight="false" outlineLevel="0" collapsed="false">
      <c r="A65" s="23" t="s">
        <v>134</v>
      </c>
      <c r="B65" s="24" t="s">
        <v>57</v>
      </c>
      <c r="C65" s="23" t="n">
        <v>103675</v>
      </c>
      <c r="D65" s="25" t="s">
        <v>135</v>
      </c>
      <c r="E65" s="23" t="s">
        <v>49</v>
      </c>
      <c r="F65" s="26" t="n">
        <f aca="false">'MEMORIAL DE CALCULO'!F123</f>
        <v>1.05</v>
      </c>
      <c r="G65" s="27"/>
      <c r="H65" s="27"/>
      <c r="I65" s="27"/>
      <c r="K65" s="29"/>
      <c r="L65" s="29"/>
      <c r="M65" s="29"/>
      <c r="N65" s="29"/>
    </row>
    <row r="66" customFormat="false" ht="14.9" hidden="false" customHeight="false" outlineLevel="0" collapsed="false">
      <c r="A66" s="23" t="s">
        <v>136</v>
      </c>
      <c r="B66" s="55" t="s">
        <v>26</v>
      </c>
      <c r="C66" s="48" t="s">
        <v>137</v>
      </c>
      <c r="D66" s="49" t="s">
        <v>138</v>
      </c>
      <c r="E66" s="48" t="s">
        <v>19</v>
      </c>
      <c r="F66" s="50" t="n">
        <f aca="false">'MEMORIAL DE CALCULO'!F126</f>
        <v>8.8</v>
      </c>
      <c r="G66" s="51"/>
      <c r="H66" s="27"/>
      <c r="I66" s="51"/>
      <c r="K66" s="52"/>
      <c r="L66" s="52"/>
      <c r="M66" s="52"/>
      <c r="N66" s="52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</row>
    <row r="67" customFormat="false" ht="13.8" hidden="false" customHeight="false" outlineLevel="0" collapsed="false">
      <c r="A67" s="43" t="s">
        <v>139</v>
      </c>
      <c r="B67" s="43"/>
      <c r="C67" s="43"/>
      <c r="D67" s="43"/>
      <c r="E67" s="43"/>
      <c r="F67" s="43"/>
      <c r="G67" s="43"/>
      <c r="H67" s="43"/>
      <c r="I67" s="44"/>
      <c r="K67" s="29"/>
      <c r="L67" s="29"/>
      <c r="M67" s="29"/>
      <c r="N67" s="29"/>
    </row>
    <row r="68" customFormat="false" ht="14.9" hidden="false" customHeight="false" outlineLevel="0" collapsed="false">
      <c r="A68" s="23" t="s">
        <v>140</v>
      </c>
      <c r="B68" s="24" t="s">
        <v>57</v>
      </c>
      <c r="C68" s="23" t="n">
        <v>92602</v>
      </c>
      <c r="D68" s="25" t="s">
        <v>141</v>
      </c>
      <c r="E68" s="23" t="s">
        <v>39</v>
      </c>
      <c r="F68" s="26" t="n">
        <f aca="false">'MEMORIAL DE CALCULO'!F128</f>
        <v>4</v>
      </c>
      <c r="G68" s="27"/>
      <c r="H68" s="27"/>
      <c r="I68" s="27"/>
      <c r="K68" s="29"/>
      <c r="L68" s="29"/>
      <c r="M68" s="29"/>
      <c r="N68" s="29"/>
    </row>
    <row r="69" customFormat="false" ht="21.6" hidden="false" customHeight="false" outlineLevel="0" collapsed="false">
      <c r="A69" s="23" t="s">
        <v>142</v>
      </c>
      <c r="B69" s="24" t="s">
        <v>57</v>
      </c>
      <c r="C69" s="23" t="n">
        <v>92580</v>
      </c>
      <c r="D69" s="25" t="s">
        <v>143</v>
      </c>
      <c r="E69" s="23" t="s">
        <v>19</v>
      </c>
      <c r="F69" s="26" t="n">
        <f aca="false">4.4*2</f>
        <v>8.8</v>
      </c>
      <c r="G69" s="27"/>
      <c r="H69" s="27"/>
      <c r="I69" s="27"/>
      <c r="K69" s="29"/>
      <c r="L69" s="29"/>
      <c r="M69" s="29"/>
      <c r="N69" s="29"/>
    </row>
    <row r="70" customFormat="false" ht="14.9" hidden="false" customHeight="false" outlineLevel="0" collapsed="false">
      <c r="A70" s="23" t="s">
        <v>144</v>
      </c>
      <c r="B70" s="31" t="s">
        <v>26</v>
      </c>
      <c r="C70" s="23" t="s">
        <v>145</v>
      </c>
      <c r="D70" s="25" t="s">
        <v>146</v>
      </c>
      <c r="E70" s="23" t="s">
        <v>19</v>
      </c>
      <c r="F70" s="26" t="n">
        <f aca="false">4.4*2</f>
        <v>8.8</v>
      </c>
      <c r="G70" s="27"/>
      <c r="H70" s="27"/>
      <c r="I70" s="27"/>
      <c r="K70" s="56"/>
      <c r="L70" s="56"/>
      <c r="M70" s="56"/>
      <c r="N70" s="56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</row>
    <row r="71" s="46" customFormat="true" ht="13.8" hidden="false" customHeight="false" outlineLevel="0" collapsed="false">
      <c r="A71" s="23" t="s">
        <v>147</v>
      </c>
      <c r="B71" s="45" t="s">
        <v>21</v>
      </c>
      <c r="C71" s="23" t="s">
        <v>148</v>
      </c>
      <c r="D71" s="25" t="s">
        <v>149</v>
      </c>
      <c r="E71" s="23" t="s">
        <v>24</v>
      </c>
      <c r="F71" s="26" t="n">
        <f aca="false">(2.3*2)</f>
        <v>4.6</v>
      </c>
      <c r="G71" s="27"/>
      <c r="H71" s="27"/>
      <c r="I71" s="27"/>
      <c r="J71" s="14"/>
      <c r="K71" s="29"/>
      <c r="L71" s="29"/>
      <c r="M71" s="29"/>
      <c r="N71" s="29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XEU71" s="14"/>
      <c r="XEV71" s="14"/>
      <c r="XEW71" s="14"/>
      <c r="XEX71" s="14"/>
      <c r="XEY71" s="14"/>
      <c r="XEZ71" s="14"/>
      <c r="XFA71" s="14"/>
      <c r="XFB71" s="14"/>
      <c r="XFC71" s="14"/>
      <c r="XFD71" s="14"/>
    </row>
    <row r="72" customFormat="false" ht="13.8" hidden="false" customHeight="false" outlineLevel="0" collapsed="false">
      <c r="A72" s="23" t="s">
        <v>150</v>
      </c>
      <c r="B72" s="45" t="s">
        <v>21</v>
      </c>
      <c r="C72" s="23" t="s">
        <v>151</v>
      </c>
      <c r="D72" s="25" t="s">
        <v>152</v>
      </c>
      <c r="E72" s="23" t="s">
        <v>24</v>
      </c>
      <c r="F72" s="26" t="n">
        <f aca="false">2*(2.3*2)*3</f>
        <v>27.6</v>
      </c>
      <c r="G72" s="27"/>
      <c r="H72" s="27"/>
      <c r="I72" s="27"/>
      <c r="K72" s="29"/>
      <c r="L72" s="29"/>
      <c r="M72" s="29"/>
      <c r="N72" s="29"/>
    </row>
    <row r="73" customFormat="false" ht="21.6" hidden="false" customHeight="false" outlineLevel="0" collapsed="false">
      <c r="A73" s="23" t="s">
        <v>153</v>
      </c>
      <c r="B73" s="24" t="s">
        <v>57</v>
      </c>
      <c r="C73" s="23" t="n">
        <v>94231</v>
      </c>
      <c r="D73" s="25" t="s">
        <v>154</v>
      </c>
      <c r="E73" s="23" t="s">
        <v>24</v>
      </c>
      <c r="F73" s="26" t="n">
        <f aca="false">2.35*4</f>
        <v>9.4</v>
      </c>
      <c r="G73" s="27"/>
      <c r="H73" s="27"/>
      <c r="I73" s="27"/>
      <c r="K73" s="29"/>
      <c r="L73" s="29"/>
      <c r="M73" s="29"/>
      <c r="N73" s="29"/>
    </row>
    <row r="74" customFormat="false" ht="13.8" hidden="false" customHeight="false" outlineLevel="0" collapsed="false">
      <c r="A74" s="43" t="s">
        <v>155</v>
      </c>
      <c r="B74" s="43"/>
      <c r="C74" s="43"/>
      <c r="D74" s="43"/>
      <c r="E74" s="43"/>
      <c r="F74" s="43"/>
      <c r="G74" s="43"/>
      <c r="H74" s="43"/>
      <c r="I74" s="44"/>
      <c r="K74" s="29"/>
      <c r="L74" s="29"/>
      <c r="M74" s="29"/>
      <c r="N74" s="29"/>
    </row>
    <row r="75" customFormat="false" ht="14.9" hidden="false" customHeight="false" outlineLevel="0" collapsed="false">
      <c r="A75" s="23" t="s">
        <v>156</v>
      </c>
      <c r="B75" s="24" t="s">
        <v>57</v>
      </c>
      <c r="C75" s="23" t="n">
        <v>87879</v>
      </c>
      <c r="D75" s="25" t="s">
        <v>157</v>
      </c>
      <c r="E75" s="23" t="s">
        <v>19</v>
      </c>
      <c r="F75" s="26" t="n">
        <f aca="false">'MEMORIAL DE CALCULO'!F135</f>
        <v>125.2</v>
      </c>
      <c r="G75" s="27"/>
      <c r="H75" s="27"/>
      <c r="I75" s="27"/>
      <c r="K75" s="29"/>
      <c r="L75" s="29"/>
      <c r="M75" s="29"/>
      <c r="N75" s="2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</row>
    <row r="76" customFormat="false" ht="13.8" hidden="false" customHeight="false" outlineLevel="0" collapsed="false">
      <c r="A76" s="23" t="s">
        <v>158</v>
      </c>
      <c r="B76" s="31" t="s">
        <v>26</v>
      </c>
      <c r="C76" s="23" t="s">
        <v>159</v>
      </c>
      <c r="D76" s="25" t="s">
        <v>160</v>
      </c>
      <c r="E76" s="23" t="s">
        <v>19</v>
      </c>
      <c r="F76" s="26" t="n">
        <f aca="false">'MEMORIAL DE CALCULO'!F139</f>
        <v>125.2</v>
      </c>
      <c r="G76" s="27"/>
      <c r="H76" s="27"/>
      <c r="I76" s="27"/>
      <c r="K76" s="29"/>
      <c r="L76" s="29"/>
      <c r="M76" s="29"/>
      <c r="N76" s="2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</row>
    <row r="77" customFormat="false" ht="13.8" hidden="false" customHeight="false" outlineLevel="0" collapsed="false">
      <c r="A77" s="23" t="s">
        <v>161</v>
      </c>
      <c r="B77" s="31" t="s">
        <v>26</v>
      </c>
      <c r="C77" s="23" t="s">
        <v>162</v>
      </c>
      <c r="D77" s="25" t="s">
        <v>163</v>
      </c>
      <c r="E77" s="23" t="s">
        <v>19</v>
      </c>
      <c r="F77" s="26" t="n">
        <f aca="false">'MEMORIAL DE CALCULO'!F140</f>
        <v>76.8</v>
      </c>
      <c r="G77" s="27"/>
      <c r="H77" s="27"/>
      <c r="I77" s="27"/>
      <c r="K77" s="29"/>
      <c r="L77" s="29"/>
      <c r="M77" s="29"/>
      <c r="N77" s="2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</row>
    <row r="78" customFormat="false" ht="21.6" hidden="false" customHeight="false" outlineLevel="0" collapsed="false">
      <c r="A78" s="23" t="s">
        <v>164</v>
      </c>
      <c r="B78" s="31" t="s">
        <v>26</v>
      </c>
      <c r="C78" s="23" t="s">
        <v>165</v>
      </c>
      <c r="D78" s="25" t="s">
        <v>166</v>
      </c>
      <c r="E78" s="23" t="s">
        <v>19</v>
      </c>
      <c r="F78" s="26" t="n">
        <f aca="false">SUM(F75-F77)</f>
        <v>48.4</v>
      </c>
      <c r="G78" s="27"/>
      <c r="H78" s="27"/>
      <c r="I78" s="27"/>
      <c r="K78" s="29"/>
      <c r="L78" s="29"/>
      <c r="M78" s="29"/>
      <c r="N78" s="2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</row>
    <row r="79" customFormat="false" ht="14.9" hidden="false" customHeight="false" outlineLevel="0" collapsed="false">
      <c r="A79" s="23" t="s">
        <v>167</v>
      </c>
      <c r="B79" s="24" t="s">
        <v>57</v>
      </c>
      <c r="C79" s="23" t="n">
        <v>88411</v>
      </c>
      <c r="D79" s="25" t="s">
        <v>168</v>
      </c>
      <c r="E79" s="23" t="s">
        <v>19</v>
      </c>
      <c r="F79" s="36" t="n">
        <f aca="false">F81</f>
        <v>153.6</v>
      </c>
      <c r="G79" s="37"/>
      <c r="H79" s="27"/>
      <c r="I79" s="27"/>
    </row>
    <row r="80" customFormat="false" ht="13.8" hidden="false" customHeight="false" outlineLevel="0" collapsed="false">
      <c r="A80" s="23" t="s">
        <v>169</v>
      </c>
      <c r="B80" s="24" t="s">
        <v>57</v>
      </c>
      <c r="C80" s="23" t="n">
        <v>88484</v>
      </c>
      <c r="D80" s="25" t="s">
        <v>170</v>
      </c>
      <c r="E80" s="23" t="s">
        <v>19</v>
      </c>
      <c r="F80" s="36" t="n">
        <f aca="false">'MEMORIAL DE CALCULO'!F143</f>
        <v>76.8</v>
      </c>
      <c r="G80" s="37"/>
      <c r="H80" s="27"/>
      <c r="I80" s="27"/>
    </row>
    <row r="81" customFormat="false" ht="14.9" hidden="false" customHeight="false" outlineLevel="0" collapsed="false">
      <c r="A81" s="23" t="s">
        <v>171</v>
      </c>
      <c r="B81" s="24" t="s">
        <v>57</v>
      </c>
      <c r="C81" s="23" t="n">
        <v>88489</v>
      </c>
      <c r="D81" s="25" t="s">
        <v>172</v>
      </c>
      <c r="E81" s="23" t="s">
        <v>19</v>
      </c>
      <c r="F81" s="26" t="n">
        <f aca="false">F77+F80</f>
        <v>153.6</v>
      </c>
      <c r="G81" s="27"/>
      <c r="H81" s="27"/>
      <c r="I81" s="27"/>
      <c r="K81" s="29"/>
      <c r="L81" s="29"/>
      <c r="M81" s="29"/>
      <c r="N81" s="2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</row>
    <row r="82" customFormat="false" ht="13.8" hidden="false" customHeight="false" outlineLevel="0" collapsed="false">
      <c r="A82" s="43" t="s">
        <v>173</v>
      </c>
      <c r="B82" s="43"/>
      <c r="C82" s="43"/>
      <c r="D82" s="43"/>
      <c r="E82" s="43"/>
      <c r="F82" s="43"/>
      <c r="G82" s="43"/>
      <c r="H82" s="43"/>
      <c r="I82" s="44"/>
      <c r="K82" s="29"/>
      <c r="L82" s="29"/>
      <c r="M82" s="29"/>
      <c r="N82" s="29"/>
    </row>
    <row r="83" customFormat="false" ht="14.9" hidden="false" customHeight="false" outlineLevel="0" collapsed="false">
      <c r="A83" s="23" t="s">
        <v>174</v>
      </c>
      <c r="B83" s="24" t="s">
        <v>64</v>
      </c>
      <c r="C83" s="23" t="n">
        <v>96624</v>
      </c>
      <c r="D83" s="25" t="s">
        <v>175</v>
      </c>
      <c r="E83" s="23" t="s">
        <v>49</v>
      </c>
      <c r="F83" s="26" t="n">
        <f aca="false">'MEMORIAL DE CALCULO'!F146</f>
        <v>0.264</v>
      </c>
      <c r="G83" s="27"/>
      <c r="H83" s="27"/>
      <c r="I83" s="27"/>
      <c r="K83" s="42"/>
      <c r="L83" s="29"/>
      <c r="M83" s="29"/>
      <c r="N83" s="29"/>
    </row>
    <row r="84" customFormat="false" ht="13.8" hidden="false" customHeight="false" outlineLevel="0" collapsed="false">
      <c r="A84" s="23" t="s">
        <v>176</v>
      </c>
      <c r="B84" s="24" t="s">
        <v>64</v>
      </c>
      <c r="C84" s="23" t="n">
        <v>97113</v>
      </c>
      <c r="D84" s="25" t="s">
        <v>65</v>
      </c>
      <c r="E84" s="23" t="s">
        <v>19</v>
      </c>
      <c r="F84" s="26" t="n">
        <f aca="false">'MEMORIAL DE CALCULO'!F147</f>
        <v>8.8</v>
      </c>
      <c r="G84" s="27"/>
      <c r="H84" s="27"/>
      <c r="I84" s="27"/>
      <c r="K84" s="42"/>
      <c r="L84" s="29"/>
      <c r="M84" s="29"/>
      <c r="N84" s="29"/>
    </row>
    <row r="85" customFormat="false" ht="13.8" hidden="false" customHeight="false" outlineLevel="0" collapsed="false">
      <c r="A85" s="23" t="s">
        <v>177</v>
      </c>
      <c r="B85" s="30" t="s">
        <v>21</v>
      </c>
      <c r="C85" s="23" t="s">
        <v>178</v>
      </c>
      <c r="D85" s="25" t="s">
        <v>179</v>
      </c>
      <c r="E85" s="23" t="s">
        <v>19</v>
      </c>
      <c r="F85" s="26" t="n">
        <f aca="false">'MEMORIAL DE CALCULO'!F148</f>
        <v>8.8</v>
      </c>
      <c r="G85" s="27"/>
      <c r="H85" s="27"/>
      <c r="I85" s="27"/>
      <c r="K85" s="42"/>
      <c r="L85" s="29"/>
      <c r="M85" s="29"/>
      <c r="N85" s="29"/>
    </row>
    <row r="86" customFormat="false" ht="14.9" hidden="false" customHeight="false" outlineLevel="0" collapsed="false">
      <c r="A86" s="23" t="s">
        <v>180</v>
      </c>
      <c r="B86" s="24" t="s">
        <v>64</v>
      </c>
      <c r="C86" s="23" t="n">
        <v>88472</v>
      </c>
      <c r="D86" s="25" t="s">
        <v>181</v>
      </c>
      <c r="E86" s="23" t="s">
        <v>19</v>
      </c>
      <c r="F86" s="26" t="n">
        <f aca="false">'MEMORIAL DE CALCULO'!F149</f>
        <v>8.8</v>
      </c>
      <c r="G86" s="27"/>
      <c r="H86" s="27"/>
      <c r="I86" s="27"/>
      <c r="K86" s="42"/>
      <c r="L86" s="29"/>
      <c r="M86" s="29"/>
      <c r="N86" s="29"/>
    </row>
    <row r="87" customFormat="false" ht="14.9" hidden="false" customHeight="false" outlineLevel="0" collapsed="false">
      <c r="A87" s="23" t="s">
        <v>182</v>
      </c>
      <c r="B87" s="24" t="s">
        <v>64</v>
      </c>
      <c r="C87" s="23" t="n">
        <v>39507</v>
      </c>
      <c r="D87" s="25" t="s">
        <v>183</v>
      </c>
      <c r="E87" s="23" t="s">
        <v>19</v>
      </c>
      <c r="F87" s="26" t="n">
        <f aca="false">F86</f>
        <v>8.8</v>
      </c>
      <c r="G87" s="27"/>
      <c r="H87" s="27"/>
      <c r="I87" s="27"/>
      <c r="K87" s="42"/>
      <c r="L87" s="29"/>
      <c r="M87" s="29"/>
      <c r="N87" s="29"/>
    </row>
    <row r="88" customFormat="false" ht="14.9" hidden="false" customHeight="false" outlineLevel="0" collapsed="false">
      <c r="A88" s="23" t="s">
        <v>184</v>
      </c>
      <c r="B88" s="24" t="s">
        <v>64</v>
      </c>
      <c r="C88" s="23" t="n">
        <v>87257</v>
      </c>
      <c r="D88" s="25" t="s">
        <v>185</v>
      </c>
      <c r="E88" s="23" t="s">
        <v>19</v>
      </c>
      <c r="F88" s="26" t="n">
        <f aca="false">F87</f>
        <v>8.8</v>
      </c>
      <c r="G88" s="27"/>
      <c r="H88" s="27"/>
      <c r="I88" s="27"/>
      <c r="K88" s="29"/>
      <c r="L88" s="29"/>
      <c r="M88" s="29"/>
      <c r="N88" s="29"/>
    </row>
    <row r="89" customFormat="false" ht="14.9" hidden="false" customHeight="false" outlineLevel="0" collapsed="false">
      <c r="A89" s="23" t="s">
        <v>186</v>
      </c>
      <c r="B89" s="24" t="s">
        <v>64</v>
      </c>
      <c r="C89" s="23" t="n">
        <v>88650</v>
      </c>
      <c r="D89" s="25" t="s">
        <v>187</v>
      </c>
      <c r="E89" s="23" t="s">
        <v>24</v>
      </c>
      <c r="F89" s="26" t="n">
        <f aca="false">'MEMORIAL DE CALCULO'!F152</f>
        <v>15</v>
      </c>
      <c r="G89" s="27"/>
      <c r="H89" s="27"/>
      <c r="I89" s="27"/>
      <c r="K89" s="29"/>
      <c r="L89" s="29"/>
      <c r="M89" s="29"/>
      <c r="N89" s="29"/>
    </row>
    <row r="90" customFormat="false" ht="14.9" hidden="false" customHeight="false" outlineLevel="0" collapsed="false">
      <c r="A90" s="23" t="s">
        <v>188</v>
      </c>
      <c r="B90" s="31" t="s">
        <v>26</v>
      </c>
      <c r="C90" s="23" t="s">
        <v>189</v>
      </c>
      <c r="D90" s="25" t="s">
        <v>190</v>
      </c>
      <c r="E90" s="23" t="s">
        <v>24</v>
      </c>
      <c r="F90" s="26" t="n">
        <f aca="false">'MEMORIAL DE CALCULO'!F153</f>
        <v>3.8</v>
      </c>
      <c r="G90" s="27"/>
      <c r="H90" s="27"/>
      <c r="I90" s="27"/>
      <c r="K90" s="29"/>
      <c r="L90" s="29"/>
      <c r="M90" s="29"/>
      <c r="N90" s="29"/>
    </row>
    <row r="91" customFormat="false" ht="13.8" hidden="false" customHeight="false" outlineLevel="0" collapsed="false">
      <c r="A91" s="43" t="s">
        <v>191</v>
      </c>
      <c r="B91" s="43"/>
      <c r="C91" s="43"/>
      <c r="D91" s="43"/>
      <c r="E91" s="43"/>
      <c r="F91" s="43"/>
      <c r="G91" s="43"/>
      <c r="H91" s="43"/>
      <c r="I91" s="44"/>
      <c r="K91" s="29"/>
      <c r="L91" s="29"/>
      <c r="M91" s="29"/>
      <c r="N91" s="29"/>
    </row>
    <row r="92" customFormat="false" ht="13.8" hidden="false" customHeight="false" outlineLevel="0" collapsed="false">
      <c r="A92" s="23" t="s">
        <v>192</v>
      </c>
      <c r="B92" s="31" t="s">
        <v>26</v>
      </c>
      <c r="C92" s="23" t="s">
        <v>193</v>
      </c>
      <c r="D92" s="25" t="s">
        <v>194</v>
      </c>
      <c r="E92" s="54" t="s">
        <v>19</v>
      </c>
      <c r="F92" s="59" t="n">
        <f aca="false">(1*1)*4+(1.5*1)*4</f>
        <v>10</v>
      </c>
      <c r="G92" s="27"/>
      <c r="H92" s="27"/>
      <c r="I92" s="27"/>
      <c r="K92" s="29"/>
      <c r="L92" s="29"/>
      <c r="M92" s="29"/>
      <c r="N92" s="29"/>
    </row>
    <row r="93" customFormat="false" ht="21.6" hidden="false" customHeight="false" outlineLevel="0" collapsed="false">
      <c r="A93" s="23" t="s">
        <v>195</v>
      </c>
      <c r="B93" s="31" t="s">
        <v>26</v>
      </c>
      <c r="C93" s="23" t="s">
        <v>196</v>
      </c>
      <c r="D93" s="25" t="s">
        <v>197</v>
      </c>
      <c r="E93" s="23" t="s">
        <v>39</v>
      </c>
      <c r="F93" s="26" t="n">
        <v>2</v>
      </c>
      <c r="G93" s="27"/>
      <c r="H93" s="27"/>
      <c r="I93" s="27"/>
      <c r="K93" s="29"/>
      <c r="L93" s="29"/>
      <c r="M93" s="29"/>
      <c r="N93" s="29"/>
    </row>
    <row r="94" customFormat="false" ht="14.9" hidden="false" customHeight="false" outlineLevel="0" collapsed="false">
      <c r="A94" s="23" t="s">
        <v>198</v>
      </c>
      <c r="B94" s="24" t="s">
        <v>57</v>
      </c>
      <c r="C94" s="23" t="n">
        <v>102219</v>
      </c>
      <c r="D94" s="25" t="s">
        <v>199</v>
      </c>
      <c r="E94" s="23" t="s">
        <v>19</v>
      </c>
      <c r="F94" s="26" t="n">
        <f aca="false">F93*(0.9*2.1)*2+(0.15*2.1)*2+(0.15*0.9)</f>
        <v>8.325</v>
      </c>
      <c r="G94" s="27"/>
      <c r="H94" s="27"/>
      <c r="I94" s="27"/>
      <c r="K94" s="29"/>
      <c r="L94" s="29"/>
      <c r="M94" s="29"/>
      <c r="N94" s="29"/>
    </row>
    <row r="95" customFormat="false" ht="13.8" hidden="false" customHeight="false" outlineLevel="0" collapsed="false">
      <c r="A95" s="43" t="s">
        <v>200</v>
      </c>
      <c r="B95" s="43"/>
      <c r="C95" s="43"/>
      <c r="D95" s="43"/>
      <c r="E95" s="43"/>
      <c r="F95" s="43"/>
      <c r="G95" s="43"/>
      <c r="H95" s="43"/>
      <c r="I95" s="44"/>
      <c r="K95" s="29"/>
      <c r="L95" s="29"/>
      <c r="M95" s="29"/>
      <c r="N95" s="29"/>
    </row>
    <row r="96" customFormat="false" ht="13.8" hidden="false" customHeight="false" outlineLevel="0" collapsed="false">
      <c r="A96" s="23" t="s">
        <v>201</v>
      </c>
      <c r="B96" s="30" t="s">
        <v>21</v>
      </c>
      <c r="C96" s="23" t="s">
        <v>202</v>
      </c>
      <c r="D96" s="25" t="s">
        <v>203</v>
      </c>
      <c r="E96" s="23" t="s">
        <v>204</v>
      </c>
      <c r="F96" s="26" t="n">
        <v>2</v>
      </c>
      <c r="G96" s="27"/>
      <c r="H96" s="27"/>
      <c r="I96" s="27"/>
      <c r="K96" s="29"/>
      <c r="L96" s="29"/>
      <c r="M96" s="29"/>
      <c r="N96" s="29"/>
    </row>
    <row r="97" customFormat="false" ht="21.6" hidden="false" customHeight="false" outlineLevel="0" collapsed="false">
      <c r="A97" s="23" t="s">
        <v>205</v>
      </c>
      <c r="B97" s="31" t="s">
        <v>26</v>
      </c>
      <c r="C97" s="23" t="s">
        <v>206</v>
      </c>
      <c r="D97" s="25" t="s">
        <v>207</v>
      </c>
      <c r="E97" s="23" t="s">
        <v>39</v>
      </c>
      <c r="F97" s="26" t="n">
        <v>4</v>
      </c>
      <c r="G97" s="27"/>
      <c r="H97" s="27"/>
      <c r="I97" s="27"/>
      <c r="K97" s="29"/>
      <c r="L97" s="29"/>
      <c r="M97" s="29"/>
      <c r="N97" s="29"/>
    </row>
    <row r="98" customFormat="false" ht="14.9" hidden="false" customHeight="false" outlineLevel="0" collapsed="false">
      <c r="A98" s="23" t="s">
        <v>208</v>
      </c>
      <c r="B98" s="31" t="s">
        <v>26</v>
      </c>
      <c r="C98" s="23" t="s">
        <v>209</v>
      </c>
      <c r="D98" s="25" t="s">
        <v>210</v>
      </c>
      <c r="E98" s="23" t="s">
        <v>24</v>
      </c>
      <c r="F98" s="26" t="n">
        <v>4</v>
      </c>
      <c r="G98" s="27"/>
      <c r="H98" s="27"/>
      <c r="I98" s="27"/>
      <c r="K98" s="29"/>
      <c r="L98" s="29"/>
      <c r="M98" s="29"/>
      <c r="N98" s="29"/>
    </row>
    <row r="99" customFormat="false" ht="13.8" hidden="false" customHeight="false" outlineLevel="0" collapsed="false">
      <c r="A99" s="23" t="s">
        <v>211</v>
      </c>
      <c r="B99" s="30" t="s">
        <v>21</v>
      </c>
      <c r="C99" s="23" t="s">
        <v>212</v>
      </c>
      <c r="D99" s="25" t="s">
        <v>213</v>
      </c>
      <c r="E99" s="23" t="s">
        <v>204</v>
      </c>
      <c r="F99" s="26" t="n">
        <v>2</v>
      </c>
      <c r="G99" s="27"/>
      <c r="H99" s="27"/>
      <c r="I99" s="27"/>
      <c r="K99" s="29"/>
      <c r="L99" s="29"/>
      <c r="M99" s="29"/>
      <c r="N99" s="29"/>
    </row>
    <row r="100" customFormat="false" ht="13.8" hidden="false" customHeight="false" outlineLevel="0" collapsed="false">
      <c r="A100" s="43" t="s">
        <v>214</v>
      </c>
      <c r="B100" s="43"/>
      <c r="C100" s="43"/>
      <c r="D100" s="43"/>
      <c r="E100" s="43"/>
      <c r="F100" s="43"/>
      <c r="G100" s="43"/>
      <c r="H100" s="43"/>
      <c r="I100" s="44"/>
      <c r="K100" s="29"/>
      <c r="L100" s="29"/>
      <c r="M100" s="29"/>
      <c r="N100" s="29"/>
    </row>
    <row r="101" customFormat="false" ht="13.8" hidden="false" customHeight="false" outlineLevel="0" collapsed="false">
      <c r="A101" s="23" t="s">
        <v>215</v>
      </c>
      <c r="B101" s="30" t="s">
        <v>21</v>
      </c>
      <c r="C101" s="54" t="s">
        <v>216</v>
      </c>
      <c r="D101" s="25" t="s">
        <v>217</v>
      </c>
      <c r="E101" s="54" t="s">
        <v>39</v>
      </c>
      <c r="F101" s="26" t="n">
        <v>2</v>
      </c>
      <c r="G101" s="27"/>
      <c r="H101" s="27"/>
      <c r="I101" s="27"/>
      <c r="K101" s="60"/>
      <c r="L101" s="60"/>
      <c r="M101" s="60"/>
      <c r="N101" s="60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</row>
    <row r="102" customFormat="false" ht="13.8" hidden="false" customHeight="false" outlineLevel="0" collapsed="false">
      <c r="A102" s="23" t="s">
        <v>218</v>
      </c>
      <c r="B102" s="30" t="s">
        <v>21</v>
      </c>
      <c r="C102" s="54" t="s">
        <v>219</v>
      </c>
      <c r="D102" s="25" t="s">
        <v>220</v>
      </c>
      <c r="E102" s="54" t="s">
        <v>24</v>
      </c>
      <c r="F102" s="26" t="n">
        <f aca="false">0.5*4</f>
        <v>2</v>
      </c>
      <c r="G102" s="27"/>
      <c r="H102" s="27"/>
      <c r="I102" s="27"/>
      <c r="K102" s="60"/>
      <c r="L102" s="60"/>
      <c r="M102" s="60"/>
      <c r="N102" s="60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</row>
    <row r="103" customFormat="false" ht="13.8" hidden="false" customHeight="false" outlineLevel="0" collapsed="false">
      <c r="A103" s="23" t="s">
        <v>221</v>
      </c>
      <c r="B103" s="30" t="s">
        <v>21</v>
      </c>
      <c r="C103" s="54" t="s">
        <v>222</v>
      </c>
      <c r="D103" s="25" t="s">
        <v>223</v>
      </c>
      <c r="E103" s="54" t="s">
        <v>24</v>
      </c>
      <c r="F103" s="26" t="n">
        <f aca="false">2.25*2</f>
        <v>4.5</v>
      </c>
      <c r="G103" s="27"/>
      <c r="H103" s="27"/>
      <c r="I103" s="27"/>
      <c r="K103" s="60"/>
      <c r="L103" s="60"/>
      <c r="M103" s="60"/>
      <c r="N103" s="60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</row>
    <row r="104" customFormat="false" ht="13.8" hidden="false" customHeight="false" outlineLevel="0" collapsed="false">
      <c r="A104" s="23" t="s">
        <v>224</v>
      </c>
      <c r="B104" s="30" t="s">
        <v>21</v>
      </c>
      <c r="C104" s="54" t="s">
        <v>225</v>
      </c>
      <c r="D104" s="25" t="s">
        <v>226</v>
      </c>
      <c r="E104" s="54" t="s">
        <v>24</v>
      </c>
      <c r="F104" s="26" t="n">
        <v>8</v>
      </c>
      <c r="G104" s="27"/>
      <c r="H104" s="27"/>
      <c r="I104" s="27"/>
      <c r="K104" s="60"/>
      <c r="L104" s="60"/>
      <c r="M104" s="60"/>
      <c r="N104" s="60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</row>
    <row r="105" customFormat="false" ht="13.8" hidden="false" customHeight="false" outlineLevel="0" collapsed="false">
      <c r="A105" s="43" t="s">
        <v>227</v>
      </c>
      <c r="B105" s="43"/>
      <c r="C105" s="43"/>
      <c r="D105" s="43"/>
      <c r="E105" s="43"/>
      <c r="F105" s="43"/>
      <c r="G105" s="43"/>
      <c r="H105" s="43"/>
      <c r="I105" s="44"/>
      <c r="K105" s="29"/>
      <c r="L105" s="29"/>
      <c r="M105" s="29"/>
      <c r="N105" s="29"/>
    </row>
    <row r="106" customFormat="false" ht="13.8" hidden="false" customHeight="false" outlineLevel="0" collapsed="false">
      <c r="A106" s="23" t="s">
        <v>228</v>
      </c>
      <c r="B106" s="24" t="s">
        <v>57</v>
      </c>
      <c r="C106" s="23" t="n">
        <v>102605</v>
      </c>
      <c r="D106" s="25" t="s">
        <v>229</v>
      </c>
      <c r="E106" s="54" t="s">
        <v>39</v>
      </c>
      <c r="F106" s="26" t="n">
        <v>2</v>
      </c>
      <c r="G106" s="27"/>
      <c r="H106" s="27"/>
      <c r="I106" s="27"/>
      <c r="K106" s="29"/>
      <c r="L106" s="29"/>
      <c r="M106" s="29"/>
      <c r="N106" s="29"/>
    </row>
    <row r="107" customFormat="false" ht="14.9" hidden="false" customHeight="false" outlineLevel="0" collapsed="false">
      <c r="A107" s="23" t="s">
        <v>230</v>
      </c>
      <c r="B107" s="24" t="s">
        <v>57</v>
      </c>
      <c r="C107" s="23" t="n">
        <v>89971</v>
      </c>
      <c r="D107" s="25" t="s">
        <v>231</v>
      </c>
      <c r="E107" s="62" t="s">
        <v>39</v>
      </c>
      <c r="F107" s="26" t="n">
        <v>4</v>
      </c>
      <c r="G107" s="27"/>
      <c r="H107" s="27"/>
      <c r="I107" s="27"/>
      <c r="K107" s="29"/>
      <c r="L107" s="29"/>
      <c r="M107" s="29"/>
      <c r="N107" s="29"/>
    </row>
    <row r="108" customFormat="false" ht="13.8" hidden="false" customHeight="false" outlineLevel="0" collapsed="false">
      <c r="A108" s="43" t="s">
        <v>232</v>
      </c>
      <c r="B108" s="43"/>
      <c r="C108" s="43"/>
      <c r="D108" s="43"/>
      <c r="E108" s="43"/>
      <c r="F108" s="43"/>
      <c r="G108" s="43"/>
      <c r="H108" s="43"/>
      <c r="I108" s="44"/>
      <c r="K108" s="29"/>
      <c r="L108" s="29"/>
      <c r="M108" s="29"/>
      <c r="N108" s="29"/>
    </row>
    <row r="109" customFormat="false" ht="14.9" hidden="false" customHeight="false" outlineLevel="0" collapsed="false">
      <c r="A109" s="23" t="s">
        <v>233</v>
      </c>
      <c r="B109" s="31" t="s">
        <v>26</v>
      </c>
      <c r="C109" s="54" t="s">
        <v>234</v>
      </c>
      <c r="D109" s="25" t="s">
        <v>235</v>
      </c>
      <c r="E109" s="54" t="s">
        <v>24</v>
      </c>
      <c r="F109" s="26" t="n">
        <f aca="false">(2.5+4+1.5+4)*2</f>
        <v>24</v>
      </c>
      <c r="G109" s="27"/>
      <c r="H109" s="27"/>
      <c r="I109" s="27"/>
      <c r="K109" s="60"/>
      <c r="L109" s="60"/>
      <c r="M109" s="60"/>
      <c r="N109" s="60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</row>
    <row r="110" customFormat="false" ht="14.9" hidden="false" customHeight="false" outlineLevel="0" collapsed="false">
      <c r="A110" s="23" t="s">
        <v>236</v>
      </c>
      <c r="B110" s="31" t="s">
        <v>26</v>
      </c>
      <c r="C110" s="54" t="s">
        <v>237</v>
      </c>
      <c r="D110" s="25" t="s">
        <v>238</v>
      </c>
      <c r="E110" s="54" t="s">
        <v>39</v>
      </c>
      <c r="F110" s="26" t="n">
        <v>2</v>
      </c>
      <c r="G110" s="27"/>
      <c r="H110" s="27"/>
      <c r="I110" s="27"/>
      <c r="K110" s="60"/>
      <c r="L110" s="60"/>
      <c r="M110" s="60"/>
      <c r="N110" s="60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</row>
    <row r="111" customFormat="false" ht="13.8" hidden="false" customHeight="false" outlineLevel="0" collapsed="false">
      <c r="A111" s="43" t="s">
        <v>799</v>
      </c>
      <c r="B111" s="43"/>
      <c r="C111" s="43"/>
      <c r="D111" s="43"/>
      <c r="E111" s="43"/>
      <c r="F111" s="43"/>
      <c r="G111" s="43"/>
      <c r="H111" s="43"/>
      <c r="I111" s="44"/>
      <c r="K111" s="29"/>
      <c r="L111" s="29"/>
      <c r="M111" s="29"/>
      <c r="N111" s="29"/>
    </row>
    <row r="112" customFormat="false" ht="13.8" hidden="false" customHeight="false" outlineLevel="0" collapsed="false">
      <c r="A112" s="23" t="s">
        <v>240</v>
      </c>
      <c r="B112" s="24" t="s">
        <v>57</v>
      </c>
      <c r="C112" s="23" t="n">
        <v>93358</v>
      </c>
      <c r="D112" s="41" t="s">
        <v>690</v>
      </c>
      <c r="E112" s="23" t="s">
        <v>49</v>
      </c>
      <c r="F112" s="36" t="n">
        <v>1.1</v>
      </c>
      <c r="G112" s="37"/>
      <c r="H112" s="37"/>
      <c r="I112" s="37"/>
    </row>
    <row r="113" customFormat="false" ht="14.9" hidden="false" customHeight="false" outlineLevel="0" collapsed="false">
      <c r="A113" s="23" t="s">
        <v>243</v>
      </c>
      <c r="B113" s="24" t="s">
        <v>17</v>
      </c>
      <c r="C113" s="23" t="n">
        <v>2442</v>
      </c>
      <c r="D113" s="41" t="s">
        <v>800</v>
      </c>
      <c r="E113" s="23" t="s">
        <v>24</v>
      </c>
      <c r="F113" s="36" t="n">
        <v>11</v>
      </c>
      <c r="G113" s="37"/>
      <c r="H113" s="37"/>
      <c r="I113" s="37"/>
    </row>
    <row r="114" customFormat="false" ht="13.8" hidden="false" customHeight="false" outlineLevel="0" collapsed="false">
      <c r="A114" s="23" t="s">
        <v>801</v>
      </c>
      <c r="B114" s="30" t="s">
        <v>21</v>
      </c>
      <c r="C114" s="23" t="s">
        <v>802</v>
      </c>
      <c r="D114" s="41" t="s">
        <v>803</v>
      </c>
      <c r="E114" s="23" t="s">
        <v>49</v>
      </c>
      <c r="F114" s="36" t="n">
        <v>1.1</v>
      </c>
      <c r="G114" s="37"/>
      <c r="H114" s="37"/>
      <c r="I114" s="37"/>
    </row>
    <row r="115" customFormat="false" ht="13.8" hidden="false" customHeight="false" outlineLevel="0" collapsed="false">
      <c r="A115" s="23" t="s">
        <v>804</v>
      </c>
      <c r="B115" s="30" t="s">
        <v>21</v>
      </c>
      <c r="C115" s="23" t="s">
        <v>754</v>
      </c>
      <c r="D115" s="41" t="s">
        <v>755</v>
      </c>
      <c r="E115" s="23" t="s">
        <v>685</v>
      </c>
      <c r="F115" s="36" t="n">
        <v>0.3</v>
      </c>
      <c r="G115" s="37"/>
      <c r="H115" s="37"/>
      <c r="I115" s="37"/>
    </row>
    <row r="116" customFormat="false" ht="14.9" hidden="false" customHeight="false" outlineLevel="0" collapsed="false">
      <c r="A116" s="23" t="s">
        <v>805</v>
      </c>
      <c r="B116" s="24" t="s">
        <v>57</v>
      </c>
      <c r="C116" s="23" t="n">
        <v>91929</v>
      </c>
      <c r="D116" s="41" t="s">
        <v>694</v>
      </c>
      <c r="E116" s="23" t="s">
        <v>24</v>
      </c>
      <c r="F116" s="36" t="n">
        <v>27</v>
      </c>
      <c r="G116" s="37"/>
      <c r="H116" s="37"/>
      <c r="I116" s="37"/>
    </row>
    <row r="117" customFormat="false" ht="13.8" hidden="false" customHeight="false" outlineLevel="0" collapsed="false">
      <c r="A117" s="23" t="s">
        <v>806</v>
      </c>
      <c r="B117" s="30" t="s">
        <v>21</v>
      </c>
      <c r="C117" s="23" t="s">
        <v>764</v>
      </c>
      <c r="D117" s="41" t="s">
        <v>765</v>
      </c>
      <c r="E117" s="23" t="s">
        <v>685</v>
      </c>
      <c r="F117" s="36" t="n">
        <v>2</v>
      </c>
      <c r="G117" s="37"/>
      <c r="H117" s="37"/>
      <c r="I117" s="37"/>
    </row>
    <row r="118" customFormat="false" ht="14.9" hidden="false" customHeight="false" outlineLevel="0" collapsed="false">
      <c r="A118" s="23" t="s">
        <v>807</v>
      </c>
      <c r="B118" s="24" t="s">
        <v>57</v>
      </c>
      <c r="C118" s="23" t="n">
        <v>93664</v>
      </c>
      <c r="D118" s="41" t="s">
        <v>767</v>
      </c>
      <c r="E118" s="23" t="s">
        <v>685</v>
      </c>
      <c r="F118" s="36" t="n">
        <v>2</v>
      </c>
      <c r="G118" s="37"/>
      <c r="H118" s="37"/>
      <c r="I118" s="37"/>
    </row>
    <row r="119" customFormat="false" ht="13.8" hidden="false" customHeight="false" outlineLevel="0" collapsed="false">
      <c r="A119" s="43" t="s">
        <v>239</v>
      </c>
      <c r="B119" s="43"/>
      <c r="C119" s="43"/>
      <c r="D119" s="43"/>
      <c r="E119" s="43"/>
      <c r="F119" s="43"/>
      <c r="G119" s="43"/>
      <c r="H119" s="43"/>
      <c r="I119" s="44"/>
      <c r="K119" s="29"/>
      <c r="L119" s="29"/>
      <c r="M119" s="29"/>
      <c r="N119" s="29"/>
    </row>
    <row r="120" customFormat="false" ht="13.8" hidden="false" customHeight="false" outlineLevel="0" collapsed="false">
      <c r="A120" s="23" t="s">
        <v>808</v>
      </c>
      <c r="B120" s="31" t="s">
        <v>26</v>
      </c>
      <c r="C120" s="23" t="s">
        <v>241</v>
      </c>
      <c r="D120" s="25" t="s">
        <v>242</v>
      </c>
      <c r="E120" s="54" t="s">
        <v>19</v>
      </c>
      <c r="F120" s="59" t="n">
        <f aca="false">'MEMORIAL DE CALCULO'!F183</f>
        <v>7.09</v>
      </c>
      <c r="G120" s="27"/>
      <c r="H120" s="27"/>
      <c r="I120" s="27"/>
    </row>
    <row r="121" customFormat="false" ht="14.9" hidden="false" customHeight="false" outlineLevel="0" collapsed="false">
      <c r="A121" s="23" t="s">
        <v>809</v>
      </c>
      <c r="B121" s="30" t="s">
        <v>21</v>
      </c>
      <c r="C121" s="23" t="s">
        <v>244</v>
      </c>
      <c r="D121" s="25" t="s">
        <v>245</v>
      </c>
      <c r="E121" s="54" t="s">
        <v>246</v>
      </c>
      <c r="F121" s="59" t="n">
        <f aca="false">F120+(0.7*2.1)*2</f>
        <v>10.03</v>
      </c>
      <c r="G121" s="27"/>
      <c r="H121" s="27"/>
      <c r="I121" s="27"/>
    </row>
    <row r="122" customFormat="false" ht="13.8" hidden="false" customHeight="false" outlineLevel="0" collapsed="false">
      <c r="A122" s="32"/>
      <c r="B122" s="32"/>
      <c r="C122" s="32"/>
      <c r="D122" s="32"/>
      <c r="E122" s="32"/>
      <c r="F122" s="32"/>
      <c r="G122" s="33" t="s">
        <v>247</v>
      </c>
      <c r="H122" s="33"/>
      <c r="I122" s="34"/>
      <c r="K122" s="29"/>
      <c r="L122" s="29"/>
      <c r="M122" s="29"/>
      <c r="N122" s="29"/>
    </row>
    <row r="123" customFormat="false" ht="13.8" hidden="false" customHeight="false" outlineLevel="0" collapsed="false">
      <c r="A123" s="35"/>
      <c r="B123" s="35"/>
      <c r="C123" s="35"/>
      <c r="D123" s="35"/>
      <c r="E123" s="35"/>
      <c r="F123" s="35"/>
      <c r="G123" s="35"/>
      <c r="H123" s="35"/>
      <c r="I123" s="35"/>
    </row>
    <row r="124" customFormat="false" ht="13.8" hidden="false" customHeight="false" outlineLevel="0" collapsed="false">
      <c r="A124" s="20" t="s">
        <v>248</v>
      </c>
      <c r="B124" s="63" t="s">
        <v>249</v>
      </c>
      <c r="C124" s="63"/>
      <c r="D124" s="63"/>
      <c r="E124" s="63"/>
      <c r="F124" s="63"/>
      <c r="G124" s="63"/>
      <c r="H124" s="63"/>
      <c r="I124" s="63"/>
    </row>
    <row r="125" customFormat="false" ht="13.8" hidden="false" customHeight="false" outlineLevel="0" collapsed="false">
      <c r="A125" s="23" t="s">
        <v>250</v>
      </c>
      <c r="B125" s="30" t="s">
        <v>21</v>
      </c>
      <c r="C125" s="23" t="s">
        <v>251</v>
      </c>
      <c r="D125" s="41" t="s">
        <v>252</v>
      </c>
      <c r="E125" s="23" t="s">
        <v>49</v>
      </c>
      <c r="F125" s="36" t="n">
        <f aca="false">'MEMORIAL DE CALCULO'!F187</f>
        <v>3.275</v>
      </c>
      <c r="G125" s="37"/>
      <c r="H125" s="37"/>
      <c r="I125" s="37"/>
    </row>
    <row r="126" customFormat="false" ht="13.8" hidden="false" customHeight="false" outlineLevel="0" collapsed="false">
      <c r="A126" s="23" t="s">
        <v>253</v>
      </c>
      <c r="B126" s="30" t="s">
        <v>21</v>
      </c>
      <c r="C126" s="23" t="s">
        <v>254</v>
      </c>
      <c r="D126" s="25" t="s">
        <v>255</v>
      </c>
      <c r="E126" s="23" t="s">
        <v>49</v>
      </c>
      <c r="F126" s="26" t="n">
        <f aca="false">'MEMORIAL DE CALCULO'!F190</f>
        <v>3.275</v>
      </c>
      <c r="G126" s="40"/>
      <c r="H126" s="37"/>
      <c r="I126" s="40"/>
    </row>
    <row r="127" customFormat="false" ht="21.6" hidden="false" customHeight="false" outlineLevel="0" collapsed="false">
      <c r="A127" s="23" t="s">
        <v>256</v>
      </c>
      <c r="B127" s="24" t="s">
        <v>57</v>
      </c>
      <c r="C127" s="23" t="n">
        <v>100982</v>
      </c>
      <c r="D127" s="41" t="s">
        <v>257</v>
      </c>
      <c r="E127" s="23" t="s">
        <v>49</v>
      </c>
      <c r="F127" s="36" t="n">
        <f aca="false">'MEMORIAL DE CALCULO'!F191</f>
        <v>3.275</v>
      </c>
      <c r="G127" s="37"/>
      <c r="H127" s="37"/>
      <c r="I127" s="37"/>
    </row>
    <row r="128" customFormat="false" ht="14.9" hidden="false" customHeight="false" outlineLevel="0" collapsed="false">
      <c r="A128" s="23" t="s">
        <v>258</v>
      </c>
      <c r="B128" s="24" t="s">
        <v>57</v>
      </c>
      <c r="C128" s="23" t="n">
        <v>95875</v>
      </c>
      <c r="D128" s="41" t="s">
        <v>259</v>
      </c>
      <c r="E128" s="23" t="s">
        <v>260</v>
      </c>
      <c r="F128" s="36" t="n">
        <f aca="false">'MEMORIAL DE CALCULO'!F192</f>
        <v>32.75</v>
      </c>
      <c r="G128" s="37"/>
      <c r="H128" s="37"/>
      <c r="I128" s="37"/>
    </row>
    <row r="129" customFormat="false" ht="14.9" hidden="false" customHeight="false" outlineLevel="0" collapsed="false">
      <c r="A129" s="23" t="s">
        <v>261</v>
      </c>
      <c r="B129" s="24" t="s">
        <v>57</v>
      </c>
      <c r="C129" s="23" t="n">
        <v>100324</v>
      </c>
      <c r="D129" s="41" t="s">
        <v>262</v>
      </c>
      <c r="E129" s="23" t="s">
        <v>49</v>
      </c>
      <c r="F129" s="36" t="n">
        <f aca="false">'MEMORIAL DE CALCULO'!F193</f>
        <v>0.655</v>
      </c>
      <c r="G129" s="37"/>
      <c r="H129" s="37"/>
      <c r="I129" s="37"/>
    </row>
    <row r="130" customFormat="false" ht="14.9" hidden="false" customHeight="false" outlineLevel="0" collapsed="false">
      <c r="A130" s="23" t="s">
        <v>263</v>
      </c>
      <c r="B130" s="24" t="s">
        <v>57</v>
      </c>
      <c r="C130" s="23" t="n">
        <v>101749</v>
      </c>
      <c r="D130" s="41" t="s">
        <v>264</v>
      </c>
      <c r="E130" s="23" t="s">
        <v>19</v>
      </c>
      <c r="F130" s="36" t="n">
        <f aca="false">'MEMORIAL DE CALCULO'!F194</f>
        <v>6.55</v>
      </c>
      <c r="G130" s="37"/>
      <c r="H130" s="37"/>
      <c r="I130" s="37"/>
    </row>
    <row r="131" customFormat="false" ht="14.9" hidden="false" customHeight="false" outlineLevel="0" collapsed="false">
      <c r="A131" s="23" t="s">
        <v>265</v>
      </c>
      <c r="B131" s="24" t="s">
        <v>57</v>
      </c>
      <c r="C131" s="23" t="n">
        <v>94990</v>
      </c>
      <c r="D131" s="41" t="s">
        <v>266</v>
      </c>
      <c r="E131" s="23" t="s">
        <v>49</v>
      </c>
      <c r="F131" s="36" t="n">
        <f aca="false">'MEMORIAL DE CALCULO'!F195</f>
        <v>1.31</v>
      </c>
      <c r="G131" s="37"/>
      <c r="H131" s="37"/>
      <c r="I131" s="37"/>
    </row>
    <row r="132" customFormat="false" ht="13.8" hidden="false" customHeight="false" outlineLevel="0" collapsed="false">
      <c r="A132" s="23" t="s">
        <v>267</v>
      </c>
      <c r="B132" s="24" t="s">
        <v>57</v>
      </c>
      <c r="C132" s="23" t="n">
        <v>101094</v>
      </c>
      <c r="D132" s="41" t="s">
        <v>268</v>
      </c>
      <c r="E132" s="23" t="s">
        <v>24</v>
      </c>
      <c r="F132" s="36" t="n">
        <f aca="false">'MEMORIAL DE CALCULO'!F196</f>
        <v>4.6</v>
      </c>
      <c r="G132" s="37"/>
      <c r="H132" s="37"/>
      <c r="I132" s="37"/>
    </row>
    <row r="133" customFormat="false" ht="13.8" hidden="false" customHeight="false" outlineLevel="0" collapsed="false">
      <c r="A133" s="32"/>
      <c r="B133" s="32"/>
      <c r="C133" s="32"/>
      <c r="D133" s="32"/>
      <c r="E133" s="32"/>
      <c r="F133" s="32"/>
      <c r="G133" s="33" t="s">
        <v>269</v>
      </c>
      <c r="H133" s="33"/>
      <c r="I133" s="34"/>
      <c r="K133" s="29"/>
      <c r="L133" s="29"/>
      <c r="M133" s="29"/>
      <c r="N133" s="29"/>
    </row>
    <row r="134" customFormat="false" ht="13.8" hidden="false" customHeight="false" outlineLevel="0" collapsed="false">
      <c r="A134" s="35"/>
      <c r="B134" s="35"/>
      <c r="C134" s="35"/>
      <c r="D134" s="35"/>
      <c r="E134" s="35"/>
      <c r="F134" s="35"/>
      <c r="G134" s="35"/>
      <c r="H134" s="35"/>
      <c r="I134" s="35"/>
      <c r="K134" s="29"/>
      <c r="L134" s="29"/>
      <c r="M134" s="29"/>
      <c r="N134" s="29"/>
    </row>
    <row r="135" customFormat="false" ht="13.8" hidden="false" customHeight="false" outlineLevel="0" collapsed="false">
      <c r="A135" s="20" t="s">
        <v>270</v>
      </c>
      <c r="B135" s="63" t="s">
        <v>271</v>
      </c>
      <c r="C135" s="63"/>
      <c r="D135" s="63"/>
      <c r="E135" s="63"/>
      <c r="F135" s="63"/>
      <c r="G135" s="63"/>
      <c r="H135" s="63"/>
      <c r="I135" s="63"/>
    </row>
    <row r="136" customFormat="false" ht="13.8" hidden="false" customHeight="false" outlineLevel="0" collapsed="false">
      <c r="A136" s="23" t="s">
        <v>272</v>
      </c>
      <c r="B136" s="30" t="s">
        <v>21</v>
      </c>
      <c r="C136" s="23" t="s">
        <v>273</v>
      </c>
      <c r="D136" s="41" t="s">
        <v>274</v>
      </c>
      <c r="E136" s="23" t="s">
        <v>49</v>
      </c>
      <c r="F136" s="36" t="n">
        <f aca="false">'MEMORIAL DE CALCULO'!F199</f>
        <v>58.5</v>
      </c>
      <c r="G136" s="37"/>
      <c r="H136" s="37"/>
      <c r="I136" s="37"/>
    </row>
    <row r="137" customFormat="false" ht="14.9" hidden="false" customHeight="false" outlineLevel="0" collapsed="false">
      <c r="A137" s="23" t="s">
        <v>275</v>
      </c>
      <c r="B137" s="24" t="s">
        <v>57</v>
      </c>
      <c r="C137" s="23" t="n">
        <v>100324</v>
      </c>
      <c r="D137" s="41" t="s">
        <v>262</v>
      </c>
      <c r="E137" s="23" t="s">
        <v>49</v>
      </c>
      <c r="F137" s="36" t="n">
        <f aca="false">'MEMORIAL DE CALCULO'!F202</f>
        <v>19.5</v>
      </c>
      <c r="G137" s="37"/>
      <c r="H137" s="37"/>
      <c r="I137" s="37"/>
    </row>
    <row r="138" customFormat="false" ht="14.9" hidden="false" customHeight="false" outlineLevel="0" collapsed="false">
      <c r="A138" s="23" t="s">
        <v>276</v>
      </c>
      <c r="B138" s="24" t="s">
        <v>57</v>
      </c>
      <c r="C138" s="23" t="n">
        <v>101749</v>
      </c>
      <c r="D138" s="41" t="s">
        <v>264</v>
      </c>
      <c r="E138" s="23" t="s">
        <v>19</v>
      </c>
      <c r="F138" s="36" t="n">
        <f aca="false">'MEMORIAL DE CALCULO'!F205</f>
        <v>195</v>
      </c>
      <c r="G138" s="37"/>
      <c r="H138" s="37"/>
      <c r="I138" s="37"/>
    </row>
    <row r="139" customFormat="false" ht="13.8" hidden="false" customHeight="false" outlineLevel="0" collapsed="false">
      <c r="A139" s="23" t="s">
        <v>277</v>
      </c>
      <c r="B139" s="24" t="s">
        <v>64</v>
      </c>
      <c r="C139" s="23" t="n">
        <v>97113</v>
      </c>
      <c r="D139" s="25" t="s">
        <v>65</v>
      </c>
      <c r="E139" s="23" t="s">
        <v>19</v>
      </c>
      <c r="F139" s="26" t="n">
        <f aca="false">'MEMORIAL DE CALCULO'!F206</f>
        <v>195</v>
      </c>
      <c r="G139" s="27"/>
      <c r="H139" s="37"/>
      <c r="I139" s="37"/>
      <c r="K139" s="42"/>
      <c r="L139" s="29"/>
      <c r="M139" s="29"/>
      <c r="N139" s="29"/>
    </row>
    <row r="140" customFormat="false" ht="13.8" hidden="false" customHeight="false" outlineLevel="0" collapsed="false">
      <c r="A140" s="23" t="s">
        <v>278</v>
      </c>
      <c r="B140" s="30" t="s">
        <v>21</v>
      </c>
      <c r="C140" s="23" t="s">
        <v>69</v>
      </c>
      <c r="D140" s="25" t="s">
        <v>70</v>
      </c>
      <c r="E140" s="23" t="s">
        <v>19</v>
      </c>
      <c r="F140" s="26" t="n">
        <f aca="false">'MEMORIAL DE CALCULO'!F207</f>
        <v>195</v>
      </c>
      <c r="G140" s="27"/>
      <c r="H140" s="37"/>
      <c r="I140" s="37"/>
      <c r="K140" s="29"/>
      <c r="L140" s="29"/>
      <c r="M140" s="29"/>
      <c r="N140" s="2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</row>
    <row r="141" customFormat="false" ht="14.9" hidden="false" customHeight="false" outlineLevel="0" collapsed="false">
      <c r="A141" s="23" t="s">
        <v>279</v>
      </c>
      <c r="B141" s="24" t="s">
        <v>57</v>
      </c>
      <c r="C141" s="23" t="n">
        <v>94990</v>
      </c>
      <c r="D141" s="41" t="s">
        <v>266</v>
      </c>
      <c r="E141" s="23" t="s">
        <v>49</v>
      </c>
      <c r="F141" s="36" t="n">
        <f aca="false">'MEMORIAL DE CALCULO'!F208</f>
        <v>29.25</v>
      </c>
      <c r="G141" s="37"/>
      <c r="H141" s="37"/>
      <c r="I141" s="37"/>
    </row>
    <row r="142" customFormat="false" ht="13.8" hidden="false" customHeight="false" outlineLevel="0" collapsed="false">
      <c r="A142" s="23" t="s">
        <v>280</v>
      </c>
      <c r="B142" s="30" t="s">
        <v>21</v>
      </c>
      <c r="C142" s="23" t="s">
        <v>281</v>
      </c>
      <c r="D142" s="41" t="s">
        <v>282</v>
      </c>
      <c r="E142" s="23" t="s">
        <v>19</v>
      </c>
      <c r="F142" s="36" t="n">
        <f aca="false">F138</f>
        <v>195</v>
      </c>
      <c r="G142" s="37"/>
      <c r="H142" s="37"/>
      <c r="I142" s="37"/>
    </row>
    <row r="143" customFormat="false" ht="13.8" hidden="false" customHeight="false" outlineLevel="0" collapsed="false">
      <c r="A143" s="23" t="s">
        <v>283</v>
      </c>
      <c r="B143" s="24" t="s">
        <v>57</v>
      </c>
      <c r="C143" s="23" t="n">
        <v>101094</v>
      </c>
      <c r="D143" s="41" t="s">
        <v>268</v>
      </c>
      <c r="E143" s="23" t="s">
        <v>24</v>
      </c>
      <c r="F143" s="36" t="n">
        <f aca="false">'MEMORIAL DE CALCULO'!F209</f>
        <v>80</v>
      </c>
      <c r="G143" s="37"/>
      <c r="H143" s="37"/>
      <c r="I143" s="37"/>
    </row>
    <row r="144" customFormat="false" ht="13.8" hidden="false" customHeight="false" outlineLevel="0" collapsed="false">
      <c r="A144" s="32"/>
      <c r="B144" s="32"/>
      <c r="C144" s="32"/>
      <c r="D144" s="32"/>
      <c r="E144" s="32"/>
      <c r="F144" s="32"/>
      <c r="G144" s="33" t="s">
        <v>284</v>
      </c>
      <c r="H144" s="33"/>
      <c r="I144" s="34"/>
      <c r="K144" s="29"/>
      <c r="L144" s="29"/>
      <c r="M144" s="29"/>
      <c r="N144" s="29"/>
    </row>
    <row r="145" customFormat="false" ht="13.8" hidden="false" customHeight="false" outlineLevel="0" collapsed="false">
      <c r="A145" s="35"/>
      <c r="B145" s="35"/>
      <c r="C145" s="35"/>
      <c r="D145" s="35"/>
      <c r="E145" s="35"/>
      <c r="F145" s="35"/>
      <c r="G145" s="35"/>
      <c r="H145" s="35"/>
      <c r="I145" s="35"/>
      <c r="K145" s="29"/>
      <c r="L145" s="29"/>
      <c r="M145" s="29"/>
      <c r="N145" s="29"/>
    </row>
    <row r="146" customFormat="false" ht="13.8" hidden="false" customHeight="false" outlineLevel="0" collapsed="false">
      <c r="A146" s="20" t="s">
        <v>285</v>
      </c>
      <c r="B146" s="63" t="s">
        <v>286</v>
      </c>
      <c r="C146" s="63"/>
      <c r="D146" s="63"/>
      <c r="E146" s="63"/>
      <c r="F146" s="63"/>
      <c r="G146" s="63"/>
      <c r="H146" s="63"/>
      <c r="I146" s="63"/>
    </row>
    <row r="147" customFormat="false" ht="13.8" hidden="false" customHeight="false" outlineLevel="0" collapsed="false">
      <c r="A147" s="23" t="s">
        <v>287</v>
      </c>
      <c r="B147" s="30" t="s">
        <v>21</v>
      </c>
      <c r="C147" s="23" t="s">
        <v>251</v>
      </c>
      <c r="D147" s="41" t="s">
        <v>252</v>
      </c>
      <c r="E147" s="23" t="s">
        <v>49</v>
      </c>
      <c r="F147" s="36" t="n">
        <f aca="false">'MEMORIAL DE CALCULO'!F212</f>
        <v>8.1</v>
      </c>
      <c r="G147" s="37"/>
      <c r="H147" s="37"/>
      <c r="I147" s="37"/>
    </row>
    <row r="148" customFormat="false" ht="21.6" hidden="false" customHeight="false" outlineLevel="0" collapsed="false">
      <c r="A148" s="23" t="s">
        <v>59</v>
      </c>
      <c r="B148" s="31" t="s">
        <v>26</v>
      </c>
      <c r="C148" s="23" t="s">
        <v>47</v>
      </c>
      <c r="D148" s="25" t="s">
        <v>48</v>
      </c>
      <c r="E148" s="23" t="s">
        <v>49</v>
      </c>
      <c r="F148" s="36" t="n">
        <f aca="false">F147</f>
        <v>8.1</v>
      </c>
      <c r="G148" s="40"/>
      <c r="H148" s="27"/>
      <c r="I148" s="27"/>
    </row>
    <row r="149" customFormat="false" ht="13.8" hidden="false" customHeight="false" outlineLevel="0" collapsed="false">
      <c r="A149" s="23" t="s">
        <v>60</v>
      </c>
      <c r="B149" s="31" t="s">
        <v>26</v>
      </c>
      <c r="C149" s="23" t="s">
        <v>51</v>
      </c>
      <c r="D149" s="41" t="s">
        <v>52</v>
      </c>
      <c r="E149" s="23" t="s">
        <v>49</v>
      </c>
      <c r="F149" s="36" t="n">
        <f aca="false">F147</f>
        <v>8.1</v>
      </c>
      <c r="G149" s="37"/>
      <c r="H149" s="27"/>
      <c r="I149" s="27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</row>
    <row r="150" customFormat="false" ht="14.9" hidden="false" customHeight="false" outlineLevel="0" collapsed="false">
      <c r="A150" s="23" t="s">
        <v>275</v>
      </c>
      <c r="B150" s="24" t="s">
        <v>57</v>
      </c>
      <c r="C150" s="23" t="n">
        <v>100324</v>
      </c>
      <c r="D150" s="41" t="s">
        <v>262</v>
      </c>
      <c r="E150" s="23" t="s">
        <v>49</v>
      </c>
      <c r="F150" s="36" t="n">
        <f aca="false">'MEMORIAL DE CALCULO'!F217</f>
        <v>2.7</v>
      </c>
      <c r="G150" s="37"/>
      <c r="H150" s="37"/>
      <c r="I150" s="37"/>
    </row>
    <row r="151" customFormat="false" ht="14.9" hidden="false" customHeight="false" outlineLevel="0" collapsed="false">
      <c r="A151" s="23" t="s">
        <v>276</v>
      </c>
      <c r="B151" s="24" t="s">
        <v>57</v>
      </c>
      <c r="C151" s="23" t="n">
        <v>101749</v>
      </c>
      <c r="D151" s="41" t="s">
        <v>264</v>
      </c>
      <c r="E151" s="23" t="s">
        <v>19</v>
      </c>
      <c r="F151" s="36" t="n">
        <f aca="false">'MEMORIAL DE CALCULO'!F220</f>
        <v>54</v>
      </c>
      <c r="G151" s="37"/>
      <c r="H151" s="37"/>
      <c r="I151" s="37"/>
    </row>
    <row r="152" customFormat="false" ht="13.8" hidden="false" customHeight="false" outlineLevel="0" collapsed="false">
      <c r="A152" s="23" t="s">
        <v>277</v>
      </c>
      <c r="B152" s="24" t="s">
        <v>64</v>
      </c>
      <c r="C152" s="23" t="n">
        <v>97113</v>
      </c>
      <c r="D152" s="25" t="s">
        <v>65</v>
      </c>
      <c r="E152" s="23" t="s">
        <v>19</v>
      </c>
      <c r="F152" s="26" t="n">
        <f aca="false">F151</f>
        <v>54</v>
      </c>
      <c r="G152" s="27"/>
      <c r="H152" s="37"/>
      <c r="I152" s="37"/>
      <c r="K152" s="42"/>
      <c r="L152" s="29"/>
      <c r="M152" s="29"/>
      <c r="N152" s="29"/>
    </row>
    <row r="153" customFormat="false" ht="13.8" hidden="false" customHeight="false" outlineLevel="0" collapsed="false">
      <c r="A153" s="23" t="s">
        <v>278</v>
      </c>
      <c r="B153" s="30" t="s">
        <v>21</v>
      </c>
      <c r="C153" s="23" t="s">
        <v>69</v>
      </c>
      <c r="D153" s="25" t="s">
        <v>70</v>
      </c>
      <c r="E153" s="23" t="s">
        <v>19</v>
      </c>
      <c r="F153" s="26" t="n">
        <f aca="false">F152</f>
        <v>54</v>
      </c>
      <c r="G153" s="27"/>
      <c r="H153" s="37"/>
      <c r="I153" s="37"/>
      <c r="K153" s="29"/>
      <c r="L153" s="29"/>
      <c r="M153" s="29"/>
      <c r="N153" s="2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</row>
    <row r="154" customFormat="false" ht="13.8" hidden="false" customHeight="false" outlineLevel="0" collapsed="false">
      <c r="A154" s="23" t="s">
        <v>280</v>
      </c>
      <c r="B154" s="30" t="s">
        <v>21</v>
      </c>
      <c r="C154" s="23" t="s">
        <v>281</v>
      </c>
      <c r="D154" s="41" t="s">
        <v>282</v>
      </c>
      <c r="E154" s="23" t="s">
        <v>19</v>
      </c>
      <c r="F154" s="36" t="n">
        <f aca="false">F151</f>
        <v>54</v>
      </c>
      <c r="G154" s="37"/>
      <c r="H154" s="37"/>
      <c r="I154" s="37"/>
    </row>
    <row r="155" customFormat="false" ht="13.8" hidden="false" customHeight="false" outlineLevel="0" collapsed="false">
      <c r="A155" s="32"/>
      <c r="B155" s="32"/>
      <c r="C155" s="32"/>
      <c r="D155" s="32"/>
      <c r="E155" s="32"/>
      <c r="F155" s="32"/>
      <c r="G155" s="33" t="s">
        <v>288</v>
      </c>
      <c r="H155" s="33"/>
      <c r="I155" s="34"/>
      <c r="K155" s="29"/>
      <c r="L155" s="29"/>
      <c r="M155" s="29"/>
      <c r="N155" s="29"/>
    </row>
    <row r="156" customFormat="false" ht="13.8" hidden="false" customHeight="false" outlineLevel="0" collapsed="false">
      <c r="A156" s="35"/>
      <c r="B156" s="35"/>
      <c r="C156" s="35"/>
      <c r="D156" s="35"/>
      <c r="E156" s="35"/>
      <c r="F156" s="35"/>
      <c r="G156" s="35"/>
      <c r="H156" s="35"/>
      <c r="I156" s="35"/>
      <c r="K156" s="29"/>
      <c r="L156" s="29"/>
      <c r="M156" s="29"/>
      <c r="N156" s="29"/>
    </row>
    <row r="157" customFormat="false" ht="13.8" hidden="false" customHeight="false" outlineLevel="0" collapsed="false">
      <c r="A157" s="20" t="s">
        <v>289</v>
      </c>
      <c r="B157" s="63" t="s">
        <v>290</v>
      </c>
      <c r="C157" s="63"/>
      <c r="D157" s="63"/>
      <c r="E157" s="63"/>
      <c r="F157" s="63"/>
      <c r="G157" s="63"/>
      <c r="H157" s="63"/>
      <c r="I157" s="63"/>
    </row>
    <row r="158" customFormat="false" ht="21.6" hidden="false" customHeight="false" outlineLevel="0" collapsed="false">
      <c r="A158" s="23" t="s">
        <v>291</v>
      </c>
      <c r="B158" s="24" t="s">
        <v>57</v>
      </c>
      <c r="C158" s="23" t="n">
        <v>103195</v>
      </c>
      <c r="D158" s="41" t="s">
        <v>292</v>
      </c>
      <c r="E158" s="23" t="s">
        <v>39</v>
      </c>
      <c r="F158" s="36" t="n">
        <v>1</v>
      </c>
      <c r="G158" s="37"/>
      <c r="H158" s="37"/>
      <c r="I158" s="37"/>
    </row>
    <row r="159" customFormat="false" ht="21.6" hidden="false" customHeight="false" outlineLevel="0" collapsed="false">
      <c r="A159" s="23" t="s">
        <v>293</v>
      </c>
      <c r="B159" s="24" t="s">
        <v>57</v>
      </c>
      <c r="C159" s="23" t="n">
        <v>103190</v>
      </c>
      <c r="D159" s="41" t="s">
        <v>294</v>
      </c>
      <c r="E159" s="23" t="s">
        <v>39</v>
      </c>
      <c r="F159" s="36" t="n">
        <v>2</v>
      </c>
      <c r="G159" s="37"/>
      <c r="H159" s="37"/>
      <c r="I159" s="37"/>
    </row>
    <row r="160" customFormat="false" ht="21.6" hidden="false" customHeight="false" outlineLevel="0" collapsed="false">
      <c r="A160" s="23" t="s">
        <v>295</v>
      </c>
      <c r="B160" s="24" t="s">
        <v>57</v>
      </c>
      <c r="C160" s="23" t="n">
        <v>103206</v>
      </c>
      <c r="D160" s="41" t="s">
        <v>296</v>
      </c>
      <c r="E160" s="23" t="s">
        <v>39</v>
      </c>
      <c r="F160" s="36" t="n">
        <v>1</v>
      </c>
      <c r="G160" s="37"/>
      <c r="H160" s="37"/>
      <c r="I160" s="37"/>
    </row>
    <row r="161" customFormat="false" ht="21.6" hidden="false" customHeight="false" outlineLevel="0" collapsed="false">
      <c r="A161" s="23" t="s">
        <v>297</v>
      </c>
      <c r="B161" s="24" t="s">
        <v>57</v>
      </c>
      <c r="C161" s="23" t="n">
        <v>103205</v>
      </c>
      <c r="D161" s="41" t="s">
        <v>298</v>
      </c>
      <c r="E161" s="23" t="s">
        <v>39</v>
      </c>
      <c r="F161" s="36" t="n">
        <v>1</v>
      </c>
      <c r="G161" s="37"/>
      <c r="H161" s="37"/>
      <c r="I161" s="37"/>
    </row>
    <row r="162" customFormat="false" ht="21.6" hidden="false" customHeight="false" outlineLevel="0" collapsed="false">
      <c r="A162" s="23" t="s">
        <v>299</v>
      </c>
      <c r="B162" s="24" t="s">
        <v>57</v>
      </c>
      <c r="C162" s="23" t="n">
        <v>103194</v>
      </c>
      <c r="D162" s="41" t="s">
        <v>300</v>
      </c>
      <c r="E162" s="23" t="s">
        <v>39</v>
      </c>
      <c r="F162" s="36" t="n">
        <v>2</v>
      </c>
      <c r="G162" s="37"/>
      <c r="H162" s="37"/>
      <c r="I162" s="37"/>
    </row>
    <row r="163" customFormat="false" ht="21.6" hidden="false" customHeight="false" outlineLevel="0" collapsed="false">
      <c r="A163" s="23" t="s">
        <v>301</v>
      </c>
      <c r="B163" s="24" t="s">
        <v>57</v>
      </c>
      <c r="C163" s="23" t="n">
        <v>103193</v>
      </c>
      <c r="D163" s="41" t="s">
        <v>302</v>
      </c>
      <c r="E163" s="23" t="s">
        <v>39</v>
      </c>
      <c r="F163" s="36" t="n">
        <v>1</v>
      </c>
      <c r="G163" s="37"/>
      <c r="H163" s="37"/>
      <c r="I163" s="37"/>
    </row>
    <row r="164" customFormat="false" ht="21.6" hidden="false" customHeight="false" outlineLevel="0" collapsed="false">
      <c r="A164" s="23" t="s">
        <v>303</v>
      </c>
      <c r="B164" s="24" t="s">
        <v>57</v>
      </c>
      <c r="C164" s="23" t="n">
        <v>103192</v>
      </c>
      <c r="D164" s="41" t="s">
        <v>304</v>
      </c>
      <c r="E164" s="23" t="s">
        <v>39</v>
      </c>
      <c r="F164" s="36" t="n">
        <v>2</v>
      </c>
      <c r="G164" s="37"/>
      <c r="H164" s="37"/>
      <c r="I164" s="37"/>
    </row>
    <row r="165" customFormat="false" ht="13.8" hidden="false" customHeight="false" outlineLevel="0" collapsed="false">
      <c r="A165" s="32"/>
      <c r="B165" s="32"/>
      <c r="C165" s="32"/>
      <c r="D165" s="32"/>
      <c r="E165" s="32"/>
      <c r="F165" s="32"/>
      <c r="G165" s="33" t="s">
        <v>305</v>
      </c>
      <c r="H165" s="33"/>
      <c r="I165" s="34"/>
      <c r="K165" s="29"/>
      <c r="L165" s="29"/>
      <c r="M165" s="29"/>
      <c r="N165" s="29"/>
    </row>
    <row r="166" customFormat="false" ht="13.8" hidden="false" customHeight="false" outlineLevel="0" collapsed="false">
      <c r="A166" s="35"/>
      <c r="B166" s="35"/>
      <c r="C166" s="35"/>
      <c r="D166" s="35"/>
      <c r="E166" s="35"/>
      <c r="F166" s="35"/>
      <c r="G166" s="35"/>
      <c r="H166" s="35"/>
      <c r="I166" s="35"/>
      <c r="K166" s="29"/>
      <c r="L166" s="29"/>
      <c r="M166" s="29"/>
      <c r="N166" s="29"/>
    </row>
    <row r="167" customFormat="false" ht="13.8" hidden="false" customHeight="false" outlineLevel="0" collapsed="false">
      <c r="A167" s="20" t="s">
        <v>306</v>
      </c>
      <c r="B167" s="21" t="s">
        <v>307</v>
      </c>
      <c r="C167" s="21"/>
      <c r="D167" s="21"/>
      <c r="E167" s="21"/>
      <c r="F167" s="21"/>
      <c r="G167" s="21"/>
      <c r="H167" s="21"/>
      <c r="I167" s="22"/>
    </row>
    <row r="168" customFormat="false" ht="13.8" hidden="false" customHeight="false" outlineLevel="0" collapsed="false">
      <c r="A168" s="43" t="s">
        <v>97</v>
      </c>
      <c r="B168" s="43"/>
      <c r="C168" s="43"/>
      <c r="D168" s="43"/>
      <c r="E168" s="43"/>
      <c r="F168" s="43"/>
      <c r="G168" s="43"/>
      <c r="H168" s="43"/>
      <c r="I168" s="44"/>
      <c r="K168" s="29"/>
      <c r="L168" s="29"/>
      <c r="M168" s="29"/>
      <c r="N168" s="29"/>
    </row>
    <row r="169" customFormat="false" ht="13.8" hidden="false" customHeight="false" outlineLevel="0" collapsed="false">
      <c r="A169" s="23" t="s">
        <v>308</v>
      </c>
      <c r="B169" s="45" t="s">
        <v>21</v>
      </c>
      <c r="C169" s="23" t="s">
        <v>99</v>
      </c>
      <c r="D169" s="25" t="s">
        <v>100</v>
      </c>
      <c r="E169" s="23" t="s">
        <v>24</v>
      </c>
      <c r="F169" s="26" t="n">
        <f aca="false">'MEMORIAL DE CALCULO'!F236</f>
        <v>60</v>
      </c>
      <c r="G169" s="27"/>
      <c r="H169" s="27"/>
      <c r="I169" s="27"/>
      <c r="K169" s="29"/>
      <c r="L169" s="29"/>
      <c r="M169" s="29"/>
      <c r="N169" s="29"/>
    </row>
    <row r="170" customFormat="false" ht="13.8" hidden="false" customHeight="false" outlineLevel="0" collapsed="false">
      <c r="A170" s="23" t="s">
        <v>309</v>
      </c>
      <c r="B170" s="24" t="s">
        <v>57</v>
      </c>
      <c r="C170" s="23" t="n">
        <v>92800</v>
      </c>
      <c r="D170" s="25" t="s">
        <v>102</v>
      </c>
      <c r="E170" s="23" t="s">
        <v>103</v>
      </c>
      <c r="F170" s="26" t="n">
        <f aca="false">'MEMORIAL DE CALCULO'!F241</f>
        <v>64.064</v>
      </c>
      <c r="G170" s="27"/>
      <c r="H170" s="27"/>
      <c r="I170" s="27"/>
      <c r="K170" s="29"/>
      <c r="L170" s="29"/>
      <c r="M170" s="29"/>
      <c r="N170" s="29"/>
    </row>
    <row r="171" customFormat="false" ht="13.8" hidden="false" customHeight="false" outlineLevel="0" collapsed="false">
      <c r="A171" s="23" t="s">
        <v>310</v>
      </c>
      <c r="B171" s="24" t="s">
        <v>57</v>
      </c>
      <c r="C171" s="23" t="n">
        <v>92803</v>
      </c>
      <c r="D171" s="25" t="s">
        <v>105</v>
      </c>
      <c r="E171" s="23" t="s">
        <v>103</v>
      </c>
      <c r="F171" s="26" t="n">
        <f aca="false">'MEMORIAL DE CALCULO'!F247</f>
        <v>148.08</v>
      </c>
      <c r="G171" s="27"/>
      <c r="H171" s="27"/>
      <c r="I171" s="27"/>
      <c r="K171" s="29"/>
      <c r="L171" s="29"/>
      <c r="M171" s="29"/>
      <c r="N171" s="2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</row>
    <row r="172" customFormat="false" ht="14.9" hidden="false" customHeight="false" outlineLevel="0" collapsed="false">
      <c r="A172" s="23" t="s">
        <v>311</v>
      </c>
      <c r="B172" s="24" t="s">
        <v>57</v>
      </c>
      <c r="C172" s="23" t="n">
        <v>96526</v>
      </c>
      <c r="D172" s="25" t="s">
        <v>107</v>
      </c>
      <c r="E172" s="23" t="s">
        <v>49</v>
      </c>
      <c r="F172" s="26" t="n">
        <f aca="false">'MEMORIAL DE CALCULO'!F251</f>
        <v>5.832</v>
      </c>
      <c r="G172" s="27"/>
      <c r="H172" s="27"/>
      <c r="I172" s="27"/>
      <c r="K172" s="29"/>
      <c r="L172" s="29"/>
      <c r="M172" s="29"/>
      <c r="N172" s="29"/>
    </row>
    <row r="173" customFormat="false" ht="14.9" hidden="false" customHeight="false" outlineLevel="0" collapsed="false">
      <c r="A173" s="23" t="s">
        <v>312</v>
      </c>
      <c r="B173" s="24" t="s">
        <v>57</v>
      </c>
      <c r="C173" s="23" t="n">
        <v>101619</v>
      </c>
      <c r="D173" s="25" t="s">
        <v>109</v>
      </c>
      <c r="E173" s="23" t="s">
        <v>49</v>
      </c>
      <c r="F173" s="26" t="n">
        <f aca="false">'MEMORIAL DE CALCULO'!F255</f>
        <v>1.458</v>
      </c>
      <c r="G173" s="27"/>
      <c r="H173" s="27"/>
      <c r="I173" s="27"/>
      <c r="K173" s="29"/>
      <c r="L173" s="29"/>
      <c r="M173" s="29"/>
      <c r="N173" s="29"/>
    </row>
    <row r="174" customFormat="false" ht="13.8" hidden="false" customHeight="false" outlineLevel="0" collapsed="false">
      <c r="A174" s="23" t="s">
        <v>313</v>
      </c>
      <c r="B174" s="24" t="s">
        <v>57</v>
      </c>
      <c r="C174" s="23" t="n">
        <v>92800</v>
      </c>
      <c r="D174" s="25" t="s">
        <v>102</v>
      </c>
      <c r="E174" s="23" t="s">
        <v>103</v>
      </c>
      <c r="F174" s="26" t="n">
        <f aca="false">'MEMORIAL DE CALCULO'!F257</f>
        <v>71.85024</v>
      </c>
      <c r="G174" s="27"/>
      <c r="H174" s="27"/>
      <c r="I174" s="27"/>
      <c r="K174" s="29"/>
      <c r="L174" s="29"/>
      <c r="M174" s="29"/>
      <c r="N174" s="29"/>
    </row>
    <row r="175" customFormat="false" ht="13.8" hidden="false" customHeight="false" outlineLevel="0" collapsed="false">
      <c r="A175" s="23" t="s">
        <v>314</v>
      </c>
      <c r="B175" s="24" t="s">
        <v>57</v>
      </c>
      <c r="C175" s="23" t="n">
        <v>92803</v>
      </c>
      <c r="D175" s="25" t="s">
        <v>105</v>
      </c>
      <c r="E175" s="23" t="s">
        <v>103</v>
      </c>
      <c r="F175" s="26" t="n">
        <f aca="false">'MEMORIAL DE CALCULO'!F262</f>
        <v>119.9448</v>
      </c>
      <c r="G175" s="27"/>
      <c r="H175" s="27"/>
      <c r="I175" s="27"/>
      <c r="K175" s="29"/>
      <c r="L175" s="29"/>
      <c r="M175" s="29"/>
      <c r="N175" s="2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</row>
    <row r="176" customFormat="false" ht="14.9" hidden="false" customHeight="false" outlineLevel="0" collapsed="false">
      <c r="A176" s="23" t="s">
        <v>315</v>
      </c>
      <c r="B176" s="47" t="s">
        <v>57</v>
      </c>
      <c r="C176" s="48" t="n">
        <v>96557</v>
      </c>
      <c r="D176" s="49" t="s">
        <v>113</v>
      </c>
      <c r="E176" s="48" t="s">
        <v>49</v>
      </c>
      <c r="F176" s="50" t="n">
        <f aca="false">'MEMORIAL DE CALCULO'!F266</f>
        <v>5.832</v>
      </c>
      <c r="G176" s="51"/>
      <c r="H176" s="51"/>
      <c r="I176" s="27"/>
      <c r="K176" s="52"/>
      <c r="L176" s="52"/>
      <c r="M176" s="52"/>
      <c r="N176" s="52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</row>
    <row r="177" customFormat="false" ht="14.9" hidden="false" customHeight="false" outlineLevel="0" collapsed="false">
      <c r="A177" s="23" t="s">
        <v>316</v>
      </c>
      <c r="B177" s="24" t="s">
        <v>57</v>
      </c>
      <c r="C177" s="23" t="n">
        <v>101165</v>
      </c>
      <c r="D177" s="25" t="s">
        <v>115</v>
      </c>
      <c r="E177" s="23" t="s">
        <v>49</v>
      </c>
      <c r="F177" s="26" t="n">
        <f aca="false">'MEMORIAL DE CALCULO'!F267</f>
        <v>4.1553</v>
      </c>
      <c r="G177" s="27"/>
      <c r="H177" s="27"/>
      <c r="I177" s="27"/>
      <c r="K177" s="29"/>
      <c r="L177" s="29"/>
      <c r="M177" s="29"/>
      <c r="N177" s="29"/>
    </row>
    <row r="178" customFormat="false" ht="13.8" hidden="false" customHeight="false" outlineLevel="0" collapsed="false">
      <c r="A178" s="43" t="s">
        <v>116</v>
      </c>
      <c r="B178" s="43"/>
      <c r="C178" s="43"/>
      <c r="D178" s="43"/>
      <c r="E178" s="43"/>
      <c r="F178" s="43"/>
      <c r="G178" s="43"/>
      <c r="H178" s="43"/>
      <c r="I178" s="44"/>
      <c r="K178" s="29"/>
      <c r="L178" s="29"/>
      <c r="M178" s="29"/>
      <c r="N178" s="29"/>
    </row>
    <row r="179" customFormat="false" ht="21.6" hidden="false" customHeight="false" outlineLevel="0" collapsed="false">
      <c r="A179" s="23" t="s">
        <v>317</v>
      </c>
      <c r="B179" s="24" t="s">
        <v>57</v>
      </c>
      <c r="C179" s="23" t="n">
        <v>92415</v>
      </c>
      <c r="D179" s="25" t="s">
        <v>118</v>
      </c>
      <c r="E179" s="23" t="s">
        <v>19</v>
      </c>
      <c r="F179" s="26" t="n">
        <f aca="false">'MEMORIAL DE CALCULO'!F271</f>
        <v>26.25</v>
      </c>
      <c r="G179" s="27"/>
      <c r="H179" s="27"/>
      <c r="I179" s="27"/>
      <c r="K179" s="29"/>
      <c r="L179" s="29"/>
      <c r="M179" s="29"/>
      <c r="N179" s="2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</row>
    <row r="180" customFormat="false" ht="13.8" hidden="false" customHeight="false" outlineLevel="0" collapsed="false">
      <c r="A180" s="23" t="s">
        <v>318</v>
      </c>
      <c r="B180" s="24" t="s">
        <v>57</v>
      </c>
      <c r="C180" s="23" t="n">
        <v>92800</v>
      </c>
      <c r="D180" s="25" t="s">
        <v>102</v>
      </c>
      <c r="E180" s="23" t="s">
        <v>103</v>
      </c>
      <c r="F180" s="26" t="n">
        <f aca="false">'MEMORIAL DE CALCULO'!F276</f>
        <v>56.056</v>
      </c>
      <c r="G180" s="27"/>
      <c r="H180" s="27"/>
      <c r="I180" s="27"/>
      <c r="K180" s="29"/>
      <c r="L180" s="29"/>
      <c r="M180" s="29"/>
      <c r="N180" s="29"/>
    </row>
    <row r="181" customFormat="false" ht="13.8" hidden="false" customHeight="false" outlineLevel="0" collapsed="false">
      <c r="A181" s="23" t="s">
        <v>319</v>
      </c>
      <c r="B181" s="24" t="s">
        <v>57</v>
      </c>
      <c r="C181" s="23" t="n">
        <v>92803</v>
      </c>
      <c r="D181" s="25" t="s">
        <v>105</v>
      </c>
      <c r="E181" s="23" t="s">
        <v>103</v>
      </c>
      <c r="F181" s="26" t="n">
        <f aca="false">'MEMORIAL DE CALCULO'!F281</f>
        <v>129.57</v>
      </c>
      <c r="G181" s="27"/>
      <c r="H181" s="27"/>
      <c r="I181" s="27"/>
      <c r="K181" s="29"/>
      <c r="L181" s="29"/>
      <c r="M181" s="29"/>
      <c r="N181" s="2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</row>
    <row r="182" customFormat="false" ht="14.9" hidden="false" customHeight="false" outlineLevel="0" collapsed="false">
      <c r="A182" s="23" t="s">
        <v>320</v>
      </c>
      <c r="B182" s="24" t="s">
        <v>57</v>
      </c>
      <c r="C182" s="23" t="n">
        <v>103672</v>
      </c>
      <c r="D182" s="25" t="s">
        <v>122</v>
      </c>
      <c r="E182" s="23" t="s">
        <v>49</v>
      </c>
      <c r="F182" s="26" t="n">
        <f aca="false">'MEMORIAL DE CALCULO'!F285</f>
        <v>3.28125</v>
      </c>
      <c r="G182" s="27"/>
      <c r="H182" s="27"/>
      <c r="I182" s="27"/>
      <c r="K182" s="29"/>
      <c r="L182" s="29"/>
      <c r="M182" s="29"/>
      <c r="N182" s="29"/>
    </row>
    <row r="183" customFormat="false" ht="21.6" hidden="false" customHeight="false" outlineLevel="0" collapsed="false">
      <c r="A183" s="23" t="s">
        <v>321</v>
      </c>
      <c r="B183" s="24" t="s">
        <v>57</v>
      </c>
      <c r="C183" s="23" t="n">
        <v>103324</v>
      </c>
      <c r="D183" s="25" t="s">
        <v>124</v>
      </c>
      <c r="E183" s="23" t="s">
        <v>19</v>
      </c>
      <c r="F183" s="26" t="n">
        <f aca="false">'MEMORIAL DE CALCULO'!F287</f>
        <v>196.37</v>
      </c>
      <c r="G183" s="27"/>
      <c r="H183" s="27"/>
      <c r="I183" s="27"/>
      <c r="K183" s="29"/>
      <c r="L183" s="29"/>
      <c r="M183" s="29"/>
      <c r="N183" s="29"/>
    </row>
    <row r="184" customFormat="false" ht="13.8" hidden="false" customHeight="false" outlineLevel="0" collapsed="false">
      <c r="A184" s="23" t="s">
        <v>322</v>
      </c>
      <c r="B184" s="45" t="s">
        <v>21</v>
      </c>
      <c r="C184" s="54" t="s">
        <v>323</v>
      </c>
      <c r="D184" s="25" t="s">
        <v>324</v>
      </c>
      <c r="E184" s="23" t="s">
        <v>24</v>
      </c>
      <c r="F184" s="26" t="n">
        <f aca="false">'MEMORIAL DE CALCULO'!F293</f>
        <v>19.6</v>
      </c>
      <c r="G184" s="27"/>
      <c r="H184" s="27"/>
      <c r="I184" s="27"/>
      <c r="K184" s="29"/>
      <c r="L184" s="29"/>
      <c r="M184" s="29"/>
      <c r="N184" s="29"/>
    </row>
    <row r="185" customFormat="false" ht="21.6" hidden="false" customHeight="false" outlineLevel="0" collapsed="false">
      <c r="A185" s="23" t="s">
        <v>325</v>
      </c>
      <c r="B185" s="24" t="s">
        <v>57</v>
      </c>
      <c r="C185" s="23" t="n">
        <v>92451</v>
      </c>
      <c r="D185" s="25" t="s">
        <v>129</v>
      </c>
      <c r="E185" s="23" t="s">
        <v>19</v>
      </c>
      <c r="F185" s="26" t="n">
        <f aca="false">'MEMORIAL DE CALCULO'!F298</f>
        <v>28.08</v>
      </c>
      <c r="G185" s="27"/>
      <c r="H185" s="27"/>
      <c r="I185" s="27"/>
      <c r="K185" s="29"/>
      <c r="L185" s="29"/>
      <c r="M185" s="29"/>
      <c r="N185" s="29"/>
    </row>
    <row r="186" customFormat="false" ht="13.8" hidden="false" customHeight="false" outlineLevel="0" collapsed="false">
      <c r="A186" s="23" t="s">
        <v>326</v>
      </c>
      <c r="B186" s="24" t="s">
        <v>57</v>
      </c>
      <c r="C186" s="23" t="n">
        <v>92800</v>
      </c>
      <c r="D186" s="25" t="s">
        <v>102</v>
      </c>
      <c r="E186" s="23" t="s">
        <v>103</v>
      </c>
      <c r="F186" s="26" t="n">
        <f aca="false">'MEMORIAL DE CALCULO'!F302</f>
        <v>1264.8636</v>
      </c>
      <c r="G186" s="27"/>
      <c r="H186" s="27"/>
      <c r="I186" s="27"/>
      <c r="K186" s="29"/>
      <c r="L186" s="29"/>
      <c r="M186" s="29"/>
      <c r="N186" s="29"/>
    </row>
    <row r="187" customFormat="false" ht="13.8" hidden="false" customHeight="false" outlineLevel="0" collapsed="false">
      <c r="A187" s="23" t="s">
        <v>327</v>
      </c>
      <c r="B187" s="24" t="s">
        <v>57</v>
      </c>
      <c r="C187" s="23" t="n">
        <v>92803</v>
      </c>
      <c r="D187" s="25" t="s">
        <v>105</v>
      </c>
      <c r="E187" s="23" t="s">
        <v>103</v>
      </c>
      <c r="F187" s="26" t="n">
        <f aca="false">'MEMORIAL DE CALCULO'!F309</f>
        <v>86.6268</v>
      </c>
      <c r="G187" s="27"/>
      <c r="H187" s="27"/>
      <c r="I187" s="27"/>
      <c r="K187" s="29"/>
      <c r="L187" s="29"/>
      <c r="M187" s="29"/>
      <c r="N187" s="2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</row>
    <row r="188" customFormat="false" ht="13.8" hidden="false" customHeight="false" outlineLevel="0" collapsed="false">
      <c r="A188" s="23" t="s">
        <v>328</v>
      </c>
      <c r="B188" s="24" t="s">
        <v>57</v>
      </c>
      <c r="C188" s="23" t="n">
        <v>92804</v>
      </c>
      <c r="D188" s="25" t="s">
        <v>133</v>
      </c>
      <c r="E188" s="23" t="s">
        <v>103</v>
      </c>
      <c r="F188" s="26" t="n">
        <f aca="false">'MEMORIAL DE CALCULO'!F313</f>
        <v>67.6026</v>
      </c>
      <c r="G188" s="27"/>
      <c r="H188" s="27"/>
      <c r="I188" s="27"/>
      <c r="K188" s="29"/>
      <c r="L188" s="29"/>
      <c r="M188" s="29"/>
      <c r="N188" s="2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</row>
    <row r="189" customFormat="false" ht="14.9" hidden="false" customHeight="false" outlineLevel="0" collapsed="false">
      <c r="A189" s="23" t="s">
        <v>329</v>
      </c>
      <c r="B189" s="24" t="s">
        <v>57</v>
      </c>
      <c r="C189" s="23" t="n">
        <v>103675</v>
      </c>
      <c r="D189" s="25" t="s">
        <v>135</v>
      </c>
      <c r="E189" s="23" t="s">
        <v>49</v>
      </c>
      <c r="F189" s="26" t="n">
        <f aca="false">'MEMORIAL DE CALCULO'!F317</f>
        <v>3.51</v>
      </c>
      <c r="G189" s="27"/>
      <c r="H189" s="27"/>
      <c r="I189" s="27"/>
      <c r="K189" s="29"/>
      <c r="L189" s="29"/>
      <c r="M189" s="29"/>
      <c r="N189" s="29"/>
    </row>
    <row r="190" customFormat="false" ht="14.9" hidden="false" customHeight="false" outlineLevel="0" collapsed="false">
      <c r="A190" s="23" t="s">
        <v>330</v>
      </c>
      <c r="B190" s="55" t="s">
        <v>26</v>
      </c>
      <c r="C190" s="48" t="s">
        <v>137</v>
      </c>
      <c r="D190" s="49" t="s">
        <v>138</v>
      </c>
      <c r="E190" s="48" t="s">
        <v>19</v>
      </c>
      <c r="F190" s="50" t="n">
        <f aca="false">'MEMORIAL DE CALCULO'!F320</f>
        <v>43.5</v>
      </c>
      <c r="G190" s="51"/>
      <c r="H190" s="27"/>
      <c r="I190" s="51"/>
      <c r="K190" s="52"/>
      <c r="L190" s="52"/>
      <c r="M190" s="52"/>
      <c r="N190" s="52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</row>
    <row r="191" customFormat="false" ht="13.8" hidden="false" customHeight="false" outlineLevel="0" collapsed="false">
      <c r="A191" s="43" t="s">
        <v>139</v>
      </c>
      <c r="B191" s="43"/>
      <c r="C191" s="43"/>
      <c r="D191" s="43"/>
      <c r="E191" s="43"/>
      <c r="F191" s="43"/>
      <c r="G191" s="43"/>
      <c r="H191" s="43"/>
      <c r="I191" s="44"/>
      <c r="K191" s="29"/>
      <c r="L191" s="29"/>
      <c r="M191" s="29"/>
      <c r="N191" s="29"/>
    </row>
    <row r="192" customFormat="false" ht="14.9" hidden="false" customHeight="false" outlineLevel="0" collapsed="false">
      <c r="A192" s="23" t="s">
        <v>331</v>
      </c>
      <c r="B192" s="24" t="s">
        <v>57</v>
      </c>
      <c r="C192" s="23" t="n">
        <v>92548</v>
      </c>
      <c r="D192" s="25" t="s">
        <v>332</v>
      </c>
      <c r="E192" s="23" t="s">
        <v>39</v>
      </c>
      <c r="F192" s="26" t="n">
        <v>4</v>
      </c>
      <c r="G192" s="27"/>
      <c r="H192" s="27"/>
      <c r="I192" s="27"/>
      <c r="K192" s="29"/>
      <c r="L192" s="29"/>
      <c r="M192" s="29"/>
      <c r="N192" s="29"/>
    </row>
    <row r="193" customFormat="false" ht="21.6" hidden="false" customHeight="false" outlineLevel="0" collapsed="false">
      <c r="A193" s="23" t="s">
        <v>333</v>
      </c>
      <c r="B193" s="24" t="s">
        <v>57</v>
      </c>
      <c r="C193" s="23" t="n">
        <v>92540</v>
      </c>
      <c r="D193" s="25" t="s">
        <v>334</v>
      </c>
      <c r="E193" s="23" t="s">
        <v>19</v>
      </c>
      <c r="F193" s="26" t="n">
        <v>74</v>
      </c>
      <c r="G193" s="27"/>
      <c r="H193" s="27"/>
      <c r="I193" s="27"/>
      <c r="K193" s="29"/>
      <c r="L193" s="29"/>
      <c r="M193" s="29"/>
      <c r="N193" s="29"/>
    </row>
    <row r="194" customFormat="false" ht="13.8" hidden="false" customHeight="false" outlineLevel="0" collapsed="false">
      <c r="A194" s="23" t="s">
        <v>335</v>
      </c>
      <c r="B194" s="45" t="s">
        <v>21</v>
      </c>
      <c r="C194" s="23" t="s">
        <v>336</v>
      </c>
      <c r="D194" s="25" t="s">
        <v>337</v>
      </c>
      <c r="E194" s="23" t="s">
        <v>19</v>
      </c>
      <c r="F194" s="26" t="n">
        <v>74</v>
      </c>
      <c r="G194" s="27"/>
      <c r="H194" s="27"/>
      <c r="I194" s="27"/>
      <c r="K194" s="56"/>
      <c r="L194" s="56"/>
      <c r="M194" s="56"/>
      <c r="N194" s="56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</row>
    <row r="195" s="46" customFormat="true" ht="13.8" hidden="false" customHeight="false" outlineLevel="0" collapsed="false">
      <c r="A195" s="23" t="s">
        <v>338</v>
      </c>
      <c r="B195" s="45" t="s">
        <v>21</v>
      </c>
      <c r="C195" s="23" t="s">
        <v>339</v>
      </c>
      <c r="D195" s="25" t="s">
        <v>340</v>
      </c>
      <c r="E195" s="23" t="s">
        <v>19</v>
      </c>
      <c r="F195" s="26" t="n">
        <v>74</v>
      </c>
      <c r="G195" s="27"/>
      <c r="H195" s="27"/>
      <c r="I195" s="27"/>
      <c r="J195" s="14"/>
      <c r="K195" s="29"/>
      <c r="L195" s="29"/>
      <c r="M195" s="29"/>
      <c r="N195" s="29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XEU195" s="14"/>
      <c r="XEV195" s="14"/>
      <c r="XEW195" s="14"/>
      <c r="XEX195" s="14"/>
      <c r="XEY195" s="14"/>
      <c r="XEZ195" s="14"/>
      <c r="XFA195" s="14"/>
      <c r="XFB195" s="14"/>
      <c r="XFC195" s="14"/>
      <c r="XFD195" s="14"/>
    </row>
    <row r="196" s="46" customFormat="true" ht="13.8" hidden="false" customHeight="false" outlineLevel="0" collapsed="false">
      <c r="A196" s="23" t="s">
        <v>341</v>
      </c>
      <c r="B196" s="45" t="s">
        <v>21</v>
      </c>
      <c r="C196" s="23" t="s">
        <v>148</v>
      </c>
      <c r="D196" s="25" t="s">
        <v>149</v>
      </c>
      <c r="E196" s="23" t="s">
        <v>24</v>
      </c>
      <c r="F196" s="26" t="n">
        <f aca="false">(13.7*2)+(5.4*2)</f>
        <v>38.2</v>
      </c>
      <c r="G196" s="27"/>
      <c r="H196" s="27"/>
      <c r="I196" s="27"/>
      <c r="J196" s="14"/>
      <c r="K196" s="29"/>
      <c r="L196" s="29"/>
      <c r="M196" s="29"/>
      <c r="N196" s="29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XEU196" s="14"/>
      <c r="XEV196" s="14"/>
      <c r="XEW196" s="14"/>
      <c r="XEX196" s="14"/>
      <c r="XEY196" s="14"/>
      <c r="XEZ196" s="14"/>
      <c r="XFA196" s="14"/>
      <c r="XFB196" s="14"/>
      <c r="XFC196" s="14"/>
      <c r="XFD196" s="14"/>
    </row>
    <row r="197" customFormat="false" ht="13.8" hidden="false" customHeight="false" outlineLevel="0" collapsed="false">
      <c r="A197" s="23" t="s">
        <v>342</v>
      </c>
      <c r="B197" s="45" t="s">
        <v>21</v>
      </c>
      <c r="C197" s="23" t="s">
        <v>151</v>
      </c>
      <c r="D197" s="25" t="s">
        <v>152</v>
      </c>
      <c r="E197" s="23" t="s">
        <v>24</v>
      </c>
      <c r="F197" s="26" t="n">
        <f aca="false">(6*3.5)</f>
        <v>21</v>
      </c>
      <c r="G197" s="27"/>
      <c r="H197" s="27"/>
      <c r="I197" s="27"/>
      <c r="K197" s="29"/>
      <c r="L197" s="29"/>
      <c r="M197" s="29"/>
      <c r="N197" s="29"/>
    </row>
    <row r="198" customFormat="false" ht="21.6" hidden="false" customHeight="false" outlineLevel="0" collapsed="false">
      <c r="A198" s="23" t="s">
        <v>343</v>
      </c>
      <c r="B198" s="24" t="s">
        <v>57</v>
      </c>
      <c r="C198" s="23" t="n">
        <v>94231</v>
      </c>
      <c r="D198" s="25" t="s">
        <v>154</v>
      </c>
      <c r="E198" s="23" t="s">
        <v>24</v>
      </c>
      <c r="F198" s="26" t="n">
        <f aca="false">(5.4*3)</f>
        <v>16.2</v>
      </c>
      <c r="G198" s="27"/>
      <c r="H198" s="27"/>
      <c r="I198" s="27"/>
      <c r="K198" s="29"/>
      <c r="L198" s="29"/>
      <c r="M198" s="29"/>
      <c r="N198" s="29"/>
    </row>
    <row r="199" customFormat="false" ht="13.8" hidden="false" customHeight="false" outlineLevel="0" collapsed="false">
      <c r="A199" s="43" t="s">
        <v>155</v>
      </c>
      <c r="B199" s="43"/>
      <c r="C199" s="43"/>
      <c r="D199" s="43"/>
      <c r="E199" s="43"/>
      <c r="F199" s="43"/>
      <c r="G199" s="43"/>
      <c r="H199" s="43"/>
      <c r="I199" s="44"/>
      <c r="K199" s="29"/>
      <c r="L199" s="29"/>
      <c r="M199" s="29"/>
      <c r="N199" s="29"/>
    </row>
    <row r="200" customFormat="false" ht="14.9" hidden="false" customHeight="false" outlineLevel="0" collapsed="false">
      <c r="A200" s="23" t="s">
        <v>344</v>
      </c>
      <c r="B200" s="24" t="s">
        <v>57</v>
      </c>
      <c r="C200" s="23" t="n">
        <v>87879</v>
      </c>
      <c r="D200" s="25" t="s">
        <v>157</v>
      </c>
      <c r="E200" s="23" t="s">
        <v>19</v>
      </c>
      <c r="F200" s="26" t="n">
        <f aca="false">'MEMORIAL DE CALCULO'!F331</f>
        <v>256.26</v>
      </c>
      <c r="G200" s="27"/>
      <c r="H200" s="27"/>
      <c r="I200" s="27"/>
      <c r="K200" s="29"/>
      <c r="L200" s="29"/>
      <c r="M200" s="29"/>
      <c r="N200" s="2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</row>
    <row r="201" customFormat="false" ht="13.8" hidden="false" customHeight="false" outlineLevel="0" collapsed="false">
      <c r="A201" s="23" t="s">
        <v>345</v>
      </c>
      <c r="B201" s="31" t="s">
        <v>26</v>
      </c>
      <c r="C201" s="23" t="s">
        <v>159</v>
      </c>
      <c r="D201" s="25" t="s">
        <v>160</v>
      </c>
      <c r="E201" s="23" t="s">
        <v>19</v>
      </c>
      <c r="F201" s="26" t="n">
        <f aca="false">'MEMORIAL DE CALCULO'!F342</f>
        <v>256.26</v>
      </c>
      <c r="G201" s="27"/>
      <c r="H201" s="27"/>
      <c r="I201" s="27"/>
      <c r="K201" s="29"/>
      <c r="L201" s="29"/>
      <c r="M201" s="29"/>
      <c r="N201" s="2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</row>
    <row r="202" customFormat="false" ht="13.8" hidden="false" customHeight="false" outlineLevel="0" collapsed="false">
      <c r="A202" s="23" t="s">
        <v>346</v>
      </c>
      <c r="B202" s="31" t="s">
        <v>26</v>
      </c>
      <c r="C202" s="23" t="s">
        <v>162</v>
      </c>
      <c r="D202" s="25" t="s">
        <v>163</v>
      </c>
      <c r="E202" s="23" t="s">
        <v>19</v>
      </c>
      <c r="F202" s="26" t="n">
        <f aca="false">'MEMORIAL DE CALCULO'!F343</f>
        <v>133.92</v>
      </c>
      <c r="G202" s="27"/>
      <c r="H202" s="27"/>
      <c r="I202" s="27"/>
      <c r="K202" s="29"/>
      <c r="L202" s="29"/>
      <c r="M202" s="29"/>
      <c r="N202" s="2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</row>
    <row r="203" customFormat="false" ht="21.6" hidden="false" customHeight="false" outlineLevel="0" collapsed="false">
      <c r="A203" s="23" t="s">
        <v>347</v>
      </c>
      <c r="B203" s="31" t="s">
        <v>26</v>
      </c>
      <c r="C203" s="23" t="s">
        <v>165</v>
      </c>
      <c r="D203" s="25" t="s">
        <v>166</v>
      </c>
      <c r="E203" s="23" t="s">
        <v>19</v>
      </c>
      <c r="F203" s="26" t="n">
        <f aca="false">SUM(F200-F202)</f>
        <v>122.34</v>
      </c>
      <c r="G203" s="27"/>
      <c r="H203" s="27"/>
      <c r="I203" s="27"/>
      <c r="K203" s="29"/>
      <c r="L203" s="29"/>
      <c r="M203" s="29"/>
      <c r="N203" s="2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</row>
    <row r="204" customFormat="false" ht="14.9" hidden="false" customHeight="false" outlineLevel="0" collapsed="false">
      <c r="A204" s="23" t="s">
        <v>348</v>
      </c>
      <c r="B204" s="24" t="s">
        <v>57</v>
      </c>
      <c r="C204" s="23" t="n">
        <v>88411</v>
      </c>
      <c r="D204" s="25" t="s">
        <v>168</v>
      </c>
      <c r="E204" s="23" t="s">
        <v>19</v>
      </c>
      <c r="F204" s="36" t="n">
        <f aca="false">F206</f>
        <v>177.42</v>
      </c>
      <c r="G204" s="37"/>
      <c r="H204" s="27"/>
      <c r="I204" s="27"/>
    </row>
    <row r="205" customFormat="false" ht="13.8" hidden="false" customHeight="false" outlineLevel="0" collapsed="false">
      <c r="A205" s="23" t="s">
        <v>349</v>
      </c>
      <c r="B205" s="24" t="s">
        <v>57</v>
      </c>
      <c r="C205" s="23" t="n">
        <v>88484</v>
      </c>
      <c r="D205" s="25" t="s">
        <v>170</v>
      </c>
      <c r="E205" s="23" t="s">
        <v>19</v>
      </c>
      <c r="F205" s="36" t="n">
        <f aca="false">'MEMORIAL DE CALCULO'!F346</f>
        <v>43.5</v>
      </c>
      <c r="G205" s="37"/>
      <c r="H205" s="27"/>
      <c r="I205" s="27"/>
    </row>
    <row r="206" customFormat="false" ht="14.9" hidden="false" customHeight="false" outlineLevel="0" collapsed="false">
      <c r="A206" s="23" t="s">
        <v>350</v>
      </c>
      <c r="B206" s="24" t="s">
        <v>57</v>
      </c>
      <c r="C206" s="23" t="n">
        <v>88489</v>
      </c>
      <c r="D206" s="25" t="s">
        <v>172</v>
      </c>
      <c r="E206" s="23" t="s">
        <v>19</v>
      </c>
      <c r="F206" s="26" t="n">
        <f aca="false">F202+F205</f>
        <v>177.42</v>
      </c>
      <c r="G206" s="27"/>
      <c r="H206" s="27"/>
      <c r="I206" s="27"/>
      <c r="K206" s="29"/>
      <c r="L206" s="29"/>
      <c r="M206" s="29"/>
      <c r="N206" s="2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</row>
    <row r="207" customFormat="false" ht="13.8" hidden="false" customHeight="false" outlineLevel="0" collapsed="false">
      <c r="A207" s="43" t="s">
        <v>173</v>
      </c>
      <c r="B207" s="43"/>
      <c r="C207" s="43"/>
      <c r="D207" s="43"/>
      <c r="E207" s="43"/>
      <c r="F207" s="43"/>
      <c r="G207" s="43"/>
      <c r="H207" s="43"/>
      <c r="I207" s="44"/>
      <c r="K207" s="29"/>
      <c r="L207" s="29"/>
      <c r="M207" s="29"/>
      <c r="N207" s="29"/>
    </row>
    <row r="208" customFormat="false" ht="14.9" hidden="false" customHeight="false" outlineLevel="0" collapsed="false">
      <c r="A208" s="23" t="s">
        <v>351</v>
      </c>
      <c r="B208" s="24" t="s">
        <v>64</v>
      </c>
      <c r="C208" s="23" t="n">
        <v>96624</v>
      </c>
      <c r="D208" s="25" t="s">
        <v>175</v>
      </c>
      <c r="E208" s="23" t="s">
        <v>49</v>
      </c>
      <c r="F208" s="26" t="n">
        <f aca="false">'MEMORIAL DE CALCULO'!F350</f>
        <v>4.35</v>
      </c>
      <c r="G208" s="27"/>
      <c r="H208" s="27"/>
      <c r="I208" s="27"/>
      <c r="K208" s="42"/>
      <c r="L208" s="29"/>
      <c r="M208" s="29"/>
      <c r="N208" s="29"/>
    </row>
    <row r="209" customFormat="false" ht="13.8" hidden="false" customHeight="false" outlineLevel="0" collapsed="false">
      <c r="A209" s="23" t="s">
        <v>352</v>
      </c>
      <c r="B209" s="24" t="s">
        <v>64</v>
      </c>
      <c r="C209" s="23" t="n">
        <v>97113</v>
      </c>
      <c r="D209" s="25" t="s">
        <v>65</v>
      </c>
      <c r="E209" s="23" t="s">
        <v>19</v>
      </c>
      <c r="F209" s="26" t="n">
        <f aca="false">'MEMORIAL DE CALCULO'!F351</f>
        <v>43.5</v>
      </c>
      <c r="G209" s="27"/>
      <c r="H209" s="27"/>
      <c r="I209" s="27"/>
      <c r="K209" s="42"/>
      <c r="L209" s="29"/>
      <c r="M209" s="29"/>
      <c r="N209" s="29"/>
    </row>
    <row r="210" customFormat="false" ht="13.8" hidden="false" customHeight="false" outlineLevel="0" collapsed="false">
      <c r="A210" s="23" t="s">
        <v>353</v>
      </c>
      <c r="B210" s="30" t="s">
        <v>21</v>
      </c>
      <c r="C210" s="23" t="s">
        <v>178</v>
      </c>
      <c r="D210" s="25" t="s">
        <v>179</v>
      </c>
      <c r="E210" s="23" t="s">
        <v>19</v>
      </c>
      <c r="F210" s="26" t="n">
        <f aca="false">'MEMORIAL DE CALCULO'!F352</f>
        <v>43.5</v>
      </c>
      <c r="G210" s="27"/>
      <c r="H210" s="27"/>
      <c r="I210" s="27"/>
      <c r="K210" s="42"/>
      <c r="L210" s="29"/>
      <c r="M210" s="29"/>
      <c r="N210" s="29"/>
    </row>
    <row r="211" customFormat="false" ht="14.9" hidden="false" customHeight="false" outlineLevel="0" collapsed="false">
      <c r="A211" s="23" t="s">
        <v>354</v>
      </c>
      <c r="B211" s="24" t="s">
        <v>64</v>
      </c>
      <c r="C211" s="23" t="n">
        <v>88472</v>
      </c>
      <c r="D211" s="25" t="s">
        <v>181</v>
      </c>
      <c r="E211" s="23" t="s">
        <v>19</v>
      </c>
      <c r="F211" s="26" t="n">
        <f aca="false">'MEMORIAL DE CALCULO'!F353</f>
        <v>43.5</v>
      </c>
      <c r="G211" s="27"/>
      <c r="H211" s="27"/>
      <c r="I211" s="27"/>
      <c r="K211" s="42"/>
      <c r="L211" s="29"/>
      <c r="M211" s="29"/>
      <c r="N211" s="29"/>
    </row>
    <row r="212" customFormat="false" ht="14.9" hidden="false" customHeight="false" outlineLevel="0" collapsed="false">
      <c r="A212" s="23" t="s">
        <v>355</v>
      </c>
      <c r="B212" s="24" t="s">
        <v>64</v>
      </c>
      <c r="C212" s="23" t="n">
        <v>39507</v>
      </c>
      <c r="D212" s="25" t="s">
        <v>183</v>
      </c>
      <c r="E212" s="23" t="s">
        <v>19</v>
      </c>
      <c r="F212" s="26" t="n">
        <f aca="false">F211</f>
        <v>43.5</v>
      </c>
      <c r="G212" s="27"/>
      <c r="H212" s="27"/>
      <c r="I212" s="27"/>
      <c r="K212" s="42"/>
      <c r="L212" s="29"/>
      <c r="M212" s="29"/>
      <c r="N212" s="29"/>
    </row>
    <row r="213" customFormat="false" ht="14.9" hidden="false" customHeight="false" outlineLevel="0" collapsed="false">
      <c r="A213" s="23" t="s">
        <v>356</v>
      </c>
      <c r="B213" s="24" t="s">
        <v>64</v>
      </c>
      <c r="C213" s="23" t="n">
        <v>87257</v>
      </c>
      <c r="D213" s="25" t="s">
        <v>185</v>
      </c>
      <c r="E213" s="23" t="s">
        <v>19</v>
      </c>
      <c r="F213" s="26" t="n">
        <f aca="false">F212</f>
        <v>43.5</v>
      </c>
      <c r="G213" s="27"/>
      <c r="H213" s="27"/>
      <c r="I213" s="27"/>
      <c r="K213" s="29"/>
      <c r="L213" s="29"/>
      <c r="M213" s="29"/>
      <c r="N213" s="29"/>
    </row>
    <row r="214" customFormat="false" ht="14.9" hidden="false" customHeight="false" outlineLevel="0" collapsed="false">
      <c r="A214" s="23" t="s">
        <v>357</v>
      </c>
      <c r="B214" s="24" t="s">
        <v>64</v>
      </c>
      <c r="C214" s="23" t="n">
        <v>88650</v>
      </c>
      <c r="D214" s="25" t="s">
        <v>187</v>
      </c>
      <c r="E214" s="23" t="s">
        <v>24</v>
      </c>
      <c r="F214" s="26" t="n">
        <f aca="false">'MEMORIAL DE CALCULO'!F356</f>
        <v>36.6</v>
      </c>
      <c r="G214" s="27"/>
      <c r="H214" s="27"/>
      <c r="I214" s="27"/>
      <c r="K214" s="29"/>
      <c r="L214" s="29"/>
      <c r="M214" s="29"/>
      <c r="N214" s="29"/>
    </row>
    <row r="215" customFormat="false" ht="14.9" hidden="false" customHeight="false" outlineLevel="0" collapsed="false">
      <c r="A215" s="23" t="s">
        <v>358</v>
      </c>
      <c r="B215" s="31" t="s">
        <v>26</v>
      </c>
      <c r="C215" s="23" t="s">
        <v>189</v>
      </c>
      <c r="D215" s="25" t="s">
        <v>190</v>
      </c>
      <c r="E215" s="23" t="s">
        <v>24</v>
      </c>
      <c r="F215" s="26" t="n">
        <f aca="false">'MEMORIAL DE CALCULO'!F357</f>
        <v>9.8</v>
      </c>
      <c r="G215" s="27"/>
      <c r="H215" s="27"/>
      <c r="I215" s="27"/>
      <c r="K215" s="29"/>
      <c r="L215" s="29"/>
      <c r="M215" s="29"/>
      <c r="N215" s="29"/>
    </row>
    <row r="216" customFormat="false" ht="13.8" hidden="false" customHeight="false" outlineLevel="0" collapsed="false">
      <c r="A216" s="43" t="s">
        <v>191</v>
      </c>
      <c r="B216" s="43"/>
      <c r="C216" s="43"/>
      <c r="D216" s="43"/>
      <c r="E216" s="43"/>
      <c r="F216" s="43"/>
      <c r="G216" s="43"/>
      <c r="H216" s="43"/>
      <c r="I216" s="44"/>
      <c r="K216" s="29"/>
      <c r="L216" s="29"/>
      <c r="M216" s="29"/>
      <c r="N216" s="29"/>
    </row>
    <row r="217" customFormat="false" ht="13.8" hidden="false" customHeight="false" outlineLevel="0" collapsed="false">
      <c r="A217" s="23" t="s">
        <v>359</v>
      </c>
      <c r="B217" s="31" t="s">
        <v>26</v>
      </c>
      <c r="C217" s="23" t="s">
        <v>193</v>
      </c>
      <c r="D217" s="25" t="s">
        <v>194</v>
      </c>
      <c r="E217" s="54" t="s">
        <v>19</v>
      </c>
      <c r="F217" s="59" t="n">
        <f aca="false">'MEMORIAL DE CALCULO'!F360</f>
        <v>8</v>
      </c>
      <c r="G217" s="27"/>
      <c r="H217" s="27"/>
      <c r="I217" s="27"/>
      <c r="K217" s="29"/>
      <c r="L217" s="29"/>
      <c r="M217" s="29"/>
      <c r="N217" s="29"/>
    </row>
    <row r="218" customFormat="false" ht="13.8" hidden="false" customHeight="false" outlineLevel="0" collapsed="false">
      <c r="A218" s="23" t="s">
        <v>360</v>
      </c>
      <c r="B218" s="31" t="s">
        <v>26</v>
      </c>
      <c r="C218" s="23" t="s">
        <v>361</v>
      </c>
      <c r="D218" s="25" t="s">
        <v>362</v>
      </c>
      <c r="E218" s="23" t="s">
        <v>19</v>
      </c>
      <c r="F218" s="26" t="n">
        <f aca="false">'MEMORIAL DE CALCULO'!F361</f>
        <v>3.78</v>
      </c>
      <c r="G218" s="27"/>
      <c r="H218" s="27"/>
      <c r="I218" s="27"/>
      <c r="K218" s="29"/>
      <c r="L218" s="29"/>
      <c r="M218" s="29"/>
      <c r="N218" s="29"/>
    </row>
    <row r="219" customFormat="false" ht="13.8" hidden="false" customHeight="false" outlineLevel="0" collapsed="false">
      <c r="A219" s="43" t="s">
        <v>363</v>
      </c>
      <c r="B219" s="43"/>
      <c r="C219" s="43"/>
      <c r="D219" s="43"/>
      <c r="E219" s="43"/>
      <c r="F219" s="43"/>
      <c r="G219" s="43"/>
      <c r="H219" s="43"/>
      <c r="I219" s="44"/>
      <c r="K219" s="29"/>
      <c r="L219" s="29"/>
      <c r="M219" s="29"/>
      <c r="N219" s="29"/>
    </row>
    <row r="220" customFormat="false" ht="21.6" hidden="false" customHeight="false" outlineLevel="0" collapsed="false">
      <c r="A220" s="23" t="s">
        <v>364</v>
      </c>
      <c r="B220" s="31" t="s">
        <v>26</v>
      </c>
      <c r="C220" s="23" t="s">
        <v>206</v>
      </c>
      <c r="D220" s="25" t="s">
        <v>207</v>
      </c>
      <c r="E220" s="23" t="s">
        <v>39</v>
      </c>
      <c r="F220" s="26" t="n">
        <v>4</v>
      </c>
      <c r="G220" s="27"/>
      <c r="H220" s="27"/>
      <c r="I220" s="27"/>
      <c r="K220" s="29"/>
      <c r="L220" s="29"/>
      <c r="M220" s="29"/>
      <c r="N220" s="29"/>
    </row>
    <row r="221" customFormat="false" ht="14.9" hidden="false" customHeight="false" outlineLevel="0" collapsed="false">
      <c r="A221" s="23" t="s">
        <v>365</v>
      </c>
      <c r="B221" s="31" t="s">
        <v>26</v>
      </c>
      <c r="C221" s="23" t="s">
        <v>209</v>
      </c>
      <c r="D221" s="25" t="s">
        <v>210</v>
      </c>
      <c r="E221" s="23" t="s">
        <v>24</v>
      </c>
      <c r="F221" s="26" t="n">
        <v>4</v>
      </c>
      <c r="G221" s="27"/>
      <c r="H221" s="27"/>
      <c r="I221" s="27"/>
      <c r="K221" s="29"/>
      <c r="L221" s="29"/>
      <c r="M221" s="29"/>
      <c r="N221" s="29"/>
    </row>
    <row r="222" customFormat="false" ht="13.8" hidden="false" customHeight="false" outlineLevel="0" collapsed="false">
      <c r="A222" s="23" t="s">
        <v>366</v>
      </c>
      <c r="B222" s="30" t="s">
        <v>21</v>
      </c>
      <c r="C222" s="23" t="s">
        <v>212</v>
      </c>
      <c r="D222" s="25" t="s">
        <v>213</v>
      </c>
      <c r="E222" s="23" t="s">
        <v>204</v>
      </c>
      <c r="F222" s="26" t="n">
        <v>2</v>
      </c>
      <c r="G222" s="27"/>
      <c r="H222" s="27"/>
      <c r="I222" s="27"/>
      <c r="K222" s="29"/>
      <c r="L222" s="29"/>
      <c r="M222" s="29"/>
      <c r="N222" s="29"/>
    </row>
    <row r="223" customFormat="false" ht="13.8" hidden="false" customHeight="false" outlineLevel="0" collapsed="false">
      <c r="A223" s="43" t="s">
        <v>367</v>
      </c>
      <c r="B223" s="43"/>
      <c r="C223" s="43"/>
      <c r="D223" s="43"/>
      <c r="E223" s="43"/>
      <c r="F223" s="43"/>
      <c r="G223" s="43"/>
      <c r="H223" s="43"/>
      <c r="I223" s="44"/>
      <c r="K223" s="29"/>
      <c r="L223" s="29"/>
      <c r="M223" s="29"/>
      <c r="N223" s="29"/>
    </row>
    <row r="224" customFormat="false" ht="13.8" hidden="false" customHeight="false" outlineLevel="0" collapsed="false">
      <c r="A224" s="23" t="s">
        <v>368</v>
      </c>
      <c r="B224" s="30" t="s">
        <v>21</v>
      </c>
      <c r="C224" s="23" t="s">
        <v>369</v>
      </c>
      <c r="D224" s="25" t="s">
        <v>370</v>
      </c>
      <c r="E224" s="23" t="s">
        <v>39</v>
      </c>
      <c r="F224" s="26" t="n">
        <v>8</v>
      </c>
      <c r="G224" s="27"/>
      <c r="H224" s="27"/>
      <c r="I224" s="27"/>
      <c r="K224" s="29"/>
      <c r="L224" s="29"/>
      <c r="M224" s="29"/>
      <c r="N224" s="29"/>
    </row>
    <row r="225" customFormat="false" ht="13.8" hidden="false" customHeight="false" outlineLevel="0" collapsed="false">
      <c r="A225" s="23" t="s">
        <v>371</v>
      </c>
      <c r="B225" s="31" t="s">
        <v>26</v>
      </c>
      <c r="C225" s="23" t="s">
        <v>372</v>
      </c>
      <c r="D225" s="25" t="s">
        <v>373</v>
      </c>
      <c r="E225" s="23" t="s">
        <v>19</v>
      </c>
      <c r="F225" s="26" t="n">
        <f aca="false">(4.9*0.6)*2</f>
        <v>5.88</v>
      </c>
      <c r="G225" s="27"/>
      <c r="H225" s="27"/>
      <c r="I225" s="27"/>
      <c r="K225" s="29"/>
      <c r="L225" s="29"/>
      <c r="M225" s="29"/>
      <c r="N225" s="29"/>
    </row>
    <row r="226" customFormat="false" ht="21.6" hidden="false" customHeight="false" outlineLevel="0" collapsed="false">
      <c r="A226" s="23" t="s">
        <v>374</v>
      </c>
      <c r="B226" s="31" t="s">
        <v>26</v>
      </c>
      <c r="C226" s="23" t="s">
        <v>375</v>
      </c>
      <c r="D226" s="25" t="s">
        <v>376</v>
      </c>
      <c r="E226" s="23" t="s">
        <v>377</v>
      </c>
      <c r="F226" s="26" t="n">
        <v>10</v>
      </c>
      <c r="G226" s="27"/>
      <c r="H226" s="27"/>
      <c r="I226" s="27"/>
      <c r="K226" s="29"/>
      <c r="L226" s="29"/>
      <c r="M226" s="29"/>
      <c r="N226" s="29"/>
    </row>
    <row r="227" customFormat="false" ht="13.8" hidden="false" customHeight="false" outlineLevel="0" collapsed="false">
      <c r="A227" s="23" t="s">
        <v>378</v>
      </c>
      <c r="B227" s="31" t="s">
        <v>26</v>
      </c>
      <c r="C227" s="23" t="s">
        <v>379</v>
      </c>
      <c r="D227" s="25" t="s">
        <v>380</v>
      </c>
      <c r="E227" s="23" t="s">
        <v>377</v>
      </c>
      <c r="F227" s="26" t="n">
        <v>10</v>
      </c>
      <c r="G227" s="27"/>
      <c r="H227" s="27"/>
      <c r="I227" s="27"/>
      <c r="K227" s="29"/>
      <c r="L227" s="29"/>
      <c r="M227" s="29"/>
      <c r="N227" s="29"/>
    </row>
    <row r="228" customFormat="false" ht="13.8" hidden="false" customHeight="false" outlineLevel="0" collapsed="false">
      <c r="A228" s="43" t="s">
        <v>381</v>
      </c>
      <c r="B228" s="43"/>
      <c r="C228" s="43"/>
      <c r="D228" s="43"/>
      <c r="E228" s="43"/>
      <c r="F228" s="43"/>
      <c r="G228" s="43"/>
      <c r="H228" s="43"/>
      <c r="I228" s="44"/>
      <c r="K228" s="29"/>
      <c r="L228" s="29"/>
      <c r="M228" s="29"/>
      <c r="N228" s="29"/>
    </row>
    <row r="229" customFormat="false" ht="13.8" hidden="false" customHeight="false" outlineLevel="0" collapsed="false">
      <c r="A229" s="23" t="s">
        <v>382</v>
      </c>
      <c r="B229" s="30" t="s">
        <v>21</v>
      </c>
      <c r="C229" s="23" t="s">
        <v>383</v>
      </c>
      <c r="D229" s="25" t="s">
        <v>384</v>
      </c>
      <c r="E229" s="23" t="s">
        <v>19</v>
      </c>
      <c r="F229" s="26" t="n">
        <f aca="false">'MEMORIAL DE CALCULO'!F375</f>
        <v>49.56</v>
      </c>
      <c r="G229" s="27"/>
      <c r="H229" s="27"/>
      <c r="I229" s="27"/>
      <c r="K229" s="29"/>
      <c r="L229" s="29"/>
      <c r="M229" s="29"/>
      <c r="N229" s="29"/>
    </row>
    <row r="230" customFormat="false" ht="13.8" hidden="false" customHeight="false" outlineLevel="0" collapsed="false">
      <c r="A230" s="23" t="s">
        <v>385</v>
      </c>
      <c r="B230" s="31" t="s">
        <v>26</v>
      </c>
      <c r="C230" s="23" t="s">
        <v>361</v>
      </c>
      <c r="D230" s="25" t="s">
        <v>362</v>
      </c>
      <c r="E230" s="23" t="s">
        <v>19</v>
      </c>
      <c r="F230" s="26" t="n">
        <f aca="false">'MEMORIAL DE CALCULO'!F378</f>
        <v>15.54</v>
      </c>
      <c r="G230" s="27"/>
      <c r="H230" s="27"/>
      <c r="I230" s="27"/>
      <c r="K230" s="29"/>
      <c r="L230" s="29"/>
      <c r="M230" s="29"/>
      <c r="N230" s="29"/>
    </row>
    <row r="231" customFormat="false" ht="13.8" hidden="false" customHeight="false" outlineLevel="0" collapsed="false">
      <c r="A231" s="64" t="s">
        <v>214</v>
      </c>
      <c r="B231" s="64"/>
      <c r="C231" s="64"/>
      <c r="D231" s="64"/>
      <c r="E231" s="64"/>
      <c r="F231" s="64"/>
      <c r="G231" s="64"/>
      <c r="H231" s="64"/>
      <c r="I231" s="65"/>
      <c r="K231" s="29"/>
      <c r="L231" s="29"/>
      <c r="M231" s="29"/>
      <c r="N231" s="29"/>
    </row>
    <row r="232" customFormat="false" ht="13.8" hidden="false" customHeight="false" outlineLevel="0" collapsed="false">
      <c r="A232" s="23" t="s">
        <v>386</v>
      </c>
      <c r="B232" s="30" t="s">
        <v>21</v>
      </c>
      <c r="C232" s="54" t="s">
        <v>216</v>
      </c>
      <c r="D232" s="25" t="s">
        <v>217</v>
      </c>
      <c r="E232" s="54" t="s">
        <v>39</v>
      </c>
      <c r="F232" s="26" t="n">
        <v>2</v>
      </c>
      <c r="G232" s="27"/>
      <c r="H232" s="27"/>
      <c r="I232" s="27"/>
      <c r="K232" s="60"/>
      <c r="L232" s="60"/>
      <c r="M232" s="60"/>
      <c r="N232" s="60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</row>
    <row r="233" customFormat="false" ht="13.8" hidden="false" customHeight="false" outlineLevel="0" collapsed="false">
      <c r="A233" s="23" t="s">
        <v>387</v>
      </c>
      <c r="B233" s="30" t="s">
        <v>21</v>
      </c>
      <c r="C233" s="54" t="s">
        <v>219</v>
      </c>
      <c r="D233" s="25" t="s">
        <v>220</v>
      </c>
      <c r="E233" s="54" t="s">
        <v>24</v>
      </c>
      <c r="F233" s="26" t="n">
        <f aca="false">'MEMORIAL DE CALCULO'!F384</f>
        <v>36.4</v>
      </c>
      <c r="G233" s="27"/>
      <c r="H233" s="27"/>
      <c r="I233" s="27"/>
      <c r="K233" s="60"/>
      <c r="L233" s="60"/>
      <c r="M233" s="60"/>
      <c r="N233" s="60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</row>
    <row r="234" customFormat="false" ht="13.8" hidden="false" customHeight="false" outlineLevel="0" collapsed="false">
      <c r="A234" s="23" t="s">
        <v>388</v>
      </c>
      <c r="B234" s="30" t="s">
        <v>21</v>
      </c>
      <c r="C234" s="54" t="s">
        <v>222</v>
      </c>
      <c r="D234" s="25" t="s">
        <v>223</v>
      </c>
      <c r="E234" s="54" t="s">
        <v>24</v>
      </c>
      <c r="F234" s="26" t="n">
        <f aca="false">'MEMORIAL DE CALCULO'!F385</f>
        <v>13</v>
      </c>
      <c r="G234" s="27"/>
      <c r="H234" s="27"/>
      <c r="I234" s="27"/>
      <c r="K234" s="60"/>
      <c r="L234" s="60"/>
      <c r="M234" s="60"/>
      <c r="N234" s="60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</row>
    <row r="235" customFormat="false" ht="13.8" hidden="false" customHeight="false" outlineLevel="0" collapsed="false">
      <c r="A235" s="23" t="s">
        <v>389</v>
      </c>
      <c r="B235" s="30" t="s">
        <v>21</v>
      </c>
      <c r="C235" s="54" t="s">
        <v>225</v>
      </c>
      <c r="D235" s="25" t="s">
        <v>226</v>
      </c>
      <c r="E235" s="54" t="s">
        <v>24</v>
      </c>
      <c r="F235" s="26" t="n">
        <f aca="false">'MEMORIAL DE CALCULO'!F386</f>
        <v>31</v>
      </c>
      <c r="G235" s="27"/>
      <c r="H235" s="27"/>
      <c r="I235" s="27"/>
      <c r="K235" s="60"/>
      <c r="L235" s="60"/>
      <c r="M235" s="60"/>
      <c r="N235" s="60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</row>
    <row r="236" customFormat="false" ht="13.8" hidden="false" customHeight="false" outlineLevel="0" collapsed="false">
      <c r="A236" s="66" t="s">
        <v>227</v>
      </c>
      <c r="B236" s="66"/>
      <c r="C236" s="66"/>
      <c r="D236" s="66"/>
      <c r="E236" s="66"/>
      <c r="F236" s="66"/>
      <c r="G236" s="66"/>
      <c r="H236" s="66"/>
      <c r="I236" s="65"/>
      <c r="K236" s="29"/>
      <c r="L236" s="29"/>
      <c r="M236" s="29"/>
      <c r="N236" s="29"/>
    </row>
    <row r="237" customFormat="false" ht="13.8" hidden="false" customHeight="false" outlineLevel="0" collapsed="false">
      <c r="A237" s="23" t="s">
        <v>390</v>
      </c>
      <c r="B237" s="24" t="s">
        <v>57</v>
      </c>
      <c r="C237" s="23" t="n">
        <v>102605</v>
      </c>
      <c r="D237" s="25" t="s">
        <v>229</v>
      </c>
      <c r="E237" s="54" t="s">
        <v>39</v>
      </c>
      <c r="F237" s="26" t="n">
        <v>2</v>
      </c>
      <c r="G237" s="27"/>
      <c r="H237" s="27"/>
      <c r="I237" s="27"/>
      <c r="K237" s="29"/>
      <c r="L237" s="29"/>
      <c r="M237" s="29"/>
      <c r="N237" s="29"/>
    </row>
    <row r="238" customFormat="false" ht="14.9" hidden="false" customHeight="false" outlineLevel="0" collapsed="false">
      <c r="A238" s="23" t="s">
        <v>391</v>
      </c>
      <c r="B238" s="24" t="s">
        <v>57</v>
      </c>
      <c r="C238" s="23" t="n">
        <v>89971</v>
      </c>
      <c r="D238" s="25" t="s">
        <v>231</v>
      </c>
      <c r="E238" s="62" t="s">
        <v>39</v>
      </c>
      <c r="F238" s="26" t="n">
        <v>4</v>
      </c>
      <c r="G238" s="27"/>
      <c r="H238" s="27"/>
      <c r="I238" s="27"/>
      <c r="K238" s="29"/>
      <c r="L238" s="29"/>
      <c r="M238" s="29"/>
      <c r="N238" s="29"/>
    </row>
    <row r="239" customFormat="false" ht="13.8" hidden="false" customHeight="false" outlineLevel="0" collapsed="false">
      <c r="A239" s="66" t="s">
        <v>232</v>
      </c>
      <c r="B239" s="66"/>
      <c r="C239" s="66"/>
      <c r="D239" s="66"/>
      <c r="E239" s="66"/>
      <c r="F239" s="66"/>
      <c r="G239" s="66"/>
      <c r="H239" s="66"/>
      <c r="I239" s="65"/>
      <c r="K239" s="29"/>
      <c r="L239" s="29"/>
      <c r="M239" s="29"/>
      <c r="N239" s="29"/>
    </row>
    <row r="240" customFormat="false" ht="21.6" hidden="false" customHeight="false" outlineLevel="0" collapsed="false">
      <c r="A240" s="23" t="s">
        <v>392</v>
      </c>
      <c r="B240" s="31" t="s">
        <v>26</v>
      </c>
      <c r="C240" s="54" t="s">
        <v>234</v>
      </c>
      <c r="D240" s="25" t="s">
        <v>393</v>
      </c>
      <c r="E240" s="54" t="s">
        <v>24</v>
      </c>
      <c r="F240" s="26" t="n">
        <f aca="false">'MEMORIAL DE CALCULO'!F393</f>
        <v>94</v>
      </c>
      <c r="G240" s="27"/>
      <c r="H240" s="27"/>
      <c r="I240" s="27"/>
      <c r="K240" s="60"/>
      <c r="L240" s="60"/>
      <c r="M240" s="60"/>
      <c r="N240" s="60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</row>
    <row r="241" customFormat="false" ht="14.9" hidden="false" customHeight="false" outlineLevel="0" collapsed="false">
      <c r="A241" s="23" t="s">
        <v>394</v>
      </c>
      <c r="B241" s="31" t="s">
        <v>26</v>
      </c>
      <c r="C241" s="54" t="s">
        <v>237</v>
      </c>
      <c r="D241" s="25" t="s">
        <v>238</v>
      </c>
      <c r="E241" s="54" t="s">
        <v>39</v>
      </c>
      <c r="F241" s="26" t="n">
        <f aca="false">'MEMORIAL DE CALCULO'!F394</f>
        <v>4</v>
      </c>
      <c r="G241" s="27"/>
      <c r="H241" s="27"/>
      <c r="I241" s="27"/>
      <c r="K241" s="60"/>
      <c r="L241" s="60"/>
      <c r="M241" s="60"/>
      <c r="N241" s="60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</row>
    <row r="242" customFormat="false" ht="13.8" hidden="false" customHeight="false" outlineLevel="0" collapsed="false">
      <c r="A242" s="32"/>
      <c r="B242" s="32"/>
      <c r="C242" s="32"/>
      <c r="D242" s="32"/>
      <c r="E242" s="32"/>
      <c r="F242" s="32"/>
      <c r="G242" s="33" t="s">
        <v>395</v>
      </c>
      <c r="H242" s="33"/>
      <c r="I242" s="34"/>
      <c r="K242" s="29"/>
      <c r="L242" s="29"/>
      <c r="M242" s="29"/>
      <c r="N242" s="29"/>
    </row>
    <row r="243" customFormat="false" ht="13.8" hidden="false" customHeight="false" outlineLevel="0" collapsed="false">
      <c r="A243" s="35"/>
      <c r="B243" s="35"/>
      <c r="C243" s="35"/>
      <c r="D243" s="35"/>
      <c r="E243" s="35"/>
      <c r="F243" s="35"/>
      <c r="G243" s="35"/>
      <c r="H243" s="35"/>
      <c r="I243" s="35"/>
    </row>
    <row r="244" customFormat="false" ht="13.8" hidden="false" customHeight="false" outlineLevel="0" collapsed="false">
      <c r="A244" s="20" t="s">
        <v>396</v>
      </c>
      <c r="B244" s="63" t="s">
        <v>397</v>
      </c>
      <c r="C244" s="63"/>
      <c r="D244" s="63"/>
      <c r="E244" s="63"/>
      <c r="F244" s="63"/>
      <c r="G244" s="63"/>
      <c r="H244" s="63"/>
      <c r="I244" s="63"/>
    </row>
    <row r="245" customFormat="false" ht="13.8" hidden="false" customHeight="false" outlineLevel="0" collapsed="false">
      <c r="A245" s="23" t="s">
        <v>398</v>
      </c>
      <c r="B245" s="30" t="s">
        <v>21</v>
      </c>
      <c r="C245" s="23" t="s">
        <v>399</v>
      </c>
      <c r="D245" s="41" t="s">
        <v>400</v>
      </c>
      <c r="E245" s="23" t="s">
        <v>19</v>
      </c>
      <c r="F245" s="36" t="n">
        <f aca="false">'MEMORIAL DE CALCULO'!F397</f>
        <v>80</v>
      </c>
      <c r="G245" s="37"/>
      <c r="H245" s="37"/>
      <c r="I245" s="37"/>
    </row>
    <row r="246" customFormat="false" ht="13.8" hidden="false" customHeight="false" outlineLevel="0" collapsed="false">
      <c r="A246" s="23" t="s">
        <v>401</v>
      </c>
      <c r="B246" s="30" t="s">
        <v>21</v>
      </c>
      <c r="C246" s="23" t="s">
        <v>273</v>
      </c>
      <c r="D246" s="41" t="s">
        <v>274</v>
      </c>
      <c r="E246" s="23" t="s">
        <v>49</v>
      </c>
      <c r="F246" s="36" t="n">
        <f aca="false">'MEMORIAL DE CALCULO'!F398</f>
        <v>16</v>
      </c>
      <c r="G246" s="37"/>
      <c r="H246" s="37"/>
      <c r="I246" s="37"/>
    </row>
    <row r="247" customFormat="false" ht="13.8" hidden="false" customHeight="false" outlineLevel="0" collapsed="false">
      <c r="A247" s="23" t="s">
        <v>402</v>
      </c>
      <c r="B247" s="30" t="s">
        <v>21</v>
      </c>
      <c r="C247" s="23" t="s">
        <v>254</v>
      </c>
      <c r="D247" s="25" t="s">
        <v>255</v>
      </c>
      <c r="E247" s="23" t="s">
        <v>49</v>
      </c>
      <c r="F247" s="26" t="n">
        <f aca="false">'MEMORIAL DE CALCULO'!F399</f>
        <v>20</v>
      </c>
      <c r="G247" s="40"/>
      <c r="H247" s="37"/>
      <c r="I247" s="40"/>
    </row>
    <row r="248" customFormat="false" ht="21.6" hidden="false" customHeight="false" outlineLevel="0" collapsed="false">
      <c r="A248" s="23" t="s">
        <v>403</v>
      </c>
      <c r="B248" s="24" t="s">
        <v>57</v>
      </c>
      <c r="C248" s="23" t="n">
        <v>100982</v>
      </c>
      <c r="D248" s="41" t="s">
        <v>257</v>
      </c>
      <c r="E248" s="23" t="s">
        <v>49</v>
      </c>
      <c r="F248" s="36" t="n">
        <f aca="false">'MEMORIAL DE CALCULO'!F400</f>
        <v>20</v>
      </c>
      <c r="G248" s="37"/>
      <c r="H248" s="37"/>
      <c r="I248" s="37"/>
    </row>
    <row r="249" customFormat="false" ht="14.9" hidden="false" customHeight="false" outlineLevel="0" collapsed="false">
      <c r="A249" s="23" t="s">
        <v>404</v>
      </c>
      <c r="B249" s="24" t="s">
        <v>57</v>
      </c>
      <c r="C249" s="23" t="n">
        <v>95875</v>
      </c>
      <c r="D249" s="41" t="s">
        <v>259</v>
      </c>
      <c r="E249" s="23" t="s">
        <v>260</v>
      </c>
      <c r="F249" s="36" t="n">
        <f aca="false">'MEMORIAL DE CALCULO'!F401</f>
        <v>200</v>
      </c>
      <c r="G249" s="37"/>
      <c r="H249" s="37"/>
      <c r="I249" s="37"/>
    </row>
    <row r="250" customFormat="false" ht="13.8" hidden="false" customHeight="false" outlineLevel="0" collapsed="false">
      <c r="A250" s="23" t="s">
        <v>405</v>
      </c>
      <c r="B250" s="24" t="s">
        <v>64</v>
      </c>
      <c r="C250" s="23" t="n">
        <v>97113</v>
      </c>
      <c r="D250" s="25" t="s">
        <v>65</v>
      </c>
      <c r="E250" s="23" t="s">
        <v>19</v>
      </c>
      <c r="F250" s="26" t="n">
        <v>80</v>
      </c>
      <c r="G250" s="27"/>
      <c r="H250" s="37"/>
      <c r="I250" s="27"/>
      <c r="K250" s="42"/>
      <c r="L250" s="29"/>
      <c r="M250" s="29"/>
      <c r="N250" s="29"/>
    </row>
    <row r="251" customFormat="false" ht="13.8" hidden="false" customHeight="false" outlineLevel="0" collapsed="false">
      <c r="A251" s="23" t="s">
        <v>406</v>
      </c>
      <c r="B251" s="30" t="s">
        <v>21</v>
      </c>
      <c r="C251" s="23" t="s">
        <v>69</v>
      </c>
      <c r="D251" s="25" t="s">
        <v>70</v>
      </c>
      <c r="E251" s="23" t="s">
        <v>19</v>
      </c>
      <c r="F251" s="26" t="n">
        <v>80</v>
      </c>
      <c r="G251" s="27"/>
      <c r="H251" s="37"/>
      <c r="I251" s="27"/>
      <c r="K251" s="29"/>
      <c r="L251" s="29"/>
      <c r="M251" s="29"/>
      <c r="N251" s="2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</row>
    <row r="252" customFormat="false" ht="14.9" hidden="false" customHeight="false" outlineLevel="0" collapsed="false">
      <c r="A252" s="23" t="s">
        <v>407</v>
      </c>
      <c r="B252" s="24" t="s">
        <v>57</v>
      </c>
      <c r="C252" s="23" t="n">
        <v>100324</v>
      </c>
      <c r="D252" s="41" t="s">
        <v>262</v>
      </c>
      <c r="E252" s="23" t="s">
        <v>49</v>
      </c>
      <c r="F252" s="36" t="n">
        <f aca="false">'MEMORIAL DE CALCULO'!F404</f>
        <v>8</v>
      </c>
      <c r="G252" s="37"/>
      <c r="H252" s="37"/>
      <c r="I252" s="37"/>
    </row>
    <row r="253" customFormat="false" ht="14.9" hidden="false" customHeight="false" outlineLevel="0" collapsed="false">
      <c r="A253" s="23" t="s">
        <v>408</v>
      </c>
      <c r="B253" s="24" t="s">
        <v>57</v>
      </c>
      <c r="C253" s="23" t="n">
        <v>101749</v>
      </c>
      <c r="D253" s="41" t="s">
        <v>264</v>
      </c>
      <c r="E253" s="23" t="s">
        <v>19</v>
      </c>
      <c r="F253" s="36" t="n">
        <f aca="false">'MEMORIAL DE CALCULO'!F405</f>
        <v>80</v>
      </c>
      <c r="G253" s="37"/>
      <c r="H253" s="37"/>
      <c r="I253" s="37"/>
    </row>
    <row r="254" customFormat="false" ht="14.9" hidden="false" customHeight="false" outlineLevel="0" collapsed="false">
      <c r="A254" s="23" t="s">
        <v>409</v>
      </c>
      <c r="B254" s="24" t="s">
        <v>57</v>
      </c>
      <c r="C254" s="23" t="n">
        <v>94990</v>
      </c>
      <c r="D254" s="41" t="s">
        <v>266</v>
      </c>
      <c r="E254" s="23" t="s">
        <v>49</v>
      </c>
      <c r="F254" s="36" t="n">
        <f aca="false">'MEMORIAL DE CALCULO'!F406</f>
        <v>12</v>
      </c>
      <c r="G254" s="37"/>
      <c r="H254" s="37"/>
      <c r="I254" s="37"/>
    </row>
    <row r="255" customFormat="false" ht="13.8" hidden="false" customHeight="false" outlineLevel="0" collapsed="false">
      <c r="A255" s="23" t="s">
        <v>410</v>
      </c>
      <c r="B255" s="30" t="s">
        <v>21</v>
      </c>
      <c r="C255" s="23" t="s">
        <v>281</v>
      </c>
      <c r="D255" s="41" t="s">
        <v>282</v>
      </c>
      <c r="E255" s="23" t="s">
        <v>19</v>
      </c>
      <c r="F255" s="36" t="n">
        <f aca="false">F251</f>
        <v>80</v>
      </c>
      <c r="G255" s="37"/>
      <c r="H255" s="37"/>
      <c r="I255" s="37"/>
    </row>
    <row r="256" customFormat="false" ht="13.8" hidden="false" customHeight="false" outlineLevel="0" collapsed="false">
      <c r="A256" s="32"/>
      <c r="B256" s="32"/>
      <c r="C256" s="32"/>
      <c r="D256" s="32"/>
      <c r="E256" s="32"/>
      <c r="F256" s="32"/>
      <c r="G256" s="33" t="s">
        <v>411</v>
      </c>
      <c r="H256" s="33"/>
      <c r="I256" s="34"/>
      <c r="K256" s="29"/>
      <c r="L256" s="29"/>
      <c r="M256" s="29"/>
      <c r="N256" s="29"/>
    </row>
    <row r="257" customFormat="false" ht="13.8" hidden="false" customHeight="false" outlineLevel="0" collapsed="false">
      <c r="A257" s="35"/>
      <c r="B257" s="35"/>
      <c r="C257" s="35"/>
      <c r="D257" s="35"/>
      <c r="E257" s="35"/>
      <c r="F257" s="35"/>
      <c r="G257" s="35"/>
      <c r="H257" s="35"/>
      <c r="I257" s="35"/>
    </row>
    <row r="258" customFormat="false" ht="13.8" hidden="false" customHeight="false" outlineLevel="0" collapsed="false">
      <c r="A258" s="20" t="s">
        <v>412</v>
      </c>
      <c r="B258" s="63" t="str">
        <f aca="false">'MEMORIAL DE CALCULO'!B408:K408</f>
        <v>PARQUINHO INFANTIL </v>
      </c>
      <c r="C258" s="63"/>
      <c r="D258" s="63"/>
      <c r="E258" s="63"/>
      <c r="F258" s="63"/>
      <c r="G258" s="63"/>
      <c r="H258" s="63"/>
      <c r="I258" s="63"/>
    </row>
    <row r="259" customFormat="false" ht="13.8" hidden="false" customHeight="false" outlineLevel="0" collapsed="false">
      <c r="A259" s="23" t="s">
        <v>413</v>
      </c>
      <c r="B259" s="31" t="s">
        <v>26</v>
      </c>
      <c r="C259" s="23" t="s">
        <v>414</v>
      </c>
      <c r="D259" s="41" t="s">
        <v>415</v>
      </c>
      <c r="E259" s="23" t="s">
        <v>204</v>
      </c>
      <c r="F259" s="36" t="n">
        <v>2</v>
      </c>
      <c r="G259" s="37"/>
      <c r="H259" s="37"/>
      <c r="I259" s="37"/>
    </row>
    <row r="260" customFormat="false" ht="13.8" hidden="false" customHeight="false" outlineLevel="0" collapsed="false">
      <c r="A260" s="23" t="s">
        <v>416</v>
      </c>
      <c r="B260" s="31" t="s">
        <v>26</v>
      </c>
      <c r="C260" s="23" t="s">
        <v>417</v>
      </c>
      <c r="D260" s="41" t="s">
        <v>418</v>
      </c>
      <c r="E260" s="23" t="s">
        <v>204</v>
      </c>
      <c r="F260" s="36" t="n">
        <v>3</v>
      </c>
      <c r="G260" s="37"/>
      <c r="H260" s="37"/>
      <c r="I260" s="37"/>
    </row>
    <row r="261" customFormat="false" ht="13.8" hidden="false" customHeight="false" outlineLevel="0" collapsed="false">
      <c r="A261" s="23" t="s">
        <v>419</v>
      </c>
      <c r="B261" s="31" t="s">
        <v>26</v>
      </c>
      <c r="C261" s="23" t="s">
        <v>420</v>
      </c>
      <c r="D261" s="41" t="s">
        <v>421</v>
      </c>
      <c r="E261" s="23" t="s">
        <v>204</v>
      </c>
      <c r="F261" s="36" t="n">
        <v>3</v>
      </c>
      <c r="G261" s="37"/>
      <c r="H261" s="37"/>
      <c r="I261" s="37"/>
    </row>
    <row r="262" customFormat="false" ht="13.8" hidden="false" customHeight="false" outlineLevel="0" collapsed="false">
      <c r="A262" s="23" t="s">
        <v>422</v>
      </c>
      <c r="B262" s="31" t="s">
        <v>26</v>
      </c>
      <c r="C262" s="23" t="s">
        <v>423</v>
      </c>
      <c r="D262" s="41" t="s">
        <v>424</v>
      </c>
      <c r="E262" s="23" t="s">
        <v>204</v>
      </c>
      <c r="F262" s="36" t="n">
        <v>3</v>
      </c>
      <c r="G262" s="37"/>
      <c r="H262" s="37"/>
      <c r="I262" s="37"/>
    </row>
    <row r="263" customFormat="false" ht="13.8" hidden="false" customHeight="false" outlineLevel="0" collapsed="false">
      <c r="A263" s="32"/>
      <c r="B263" s="32"/>
      <c r="C263" s="32"/>
      <c r="D263" s="32"/>
      <c r="E263" s="32"/>
      <c r="F263" s="32"/>
      <c r="G263" s="33" t="s">
        <v>425</v>
      </c>
      <c r="H263" s="33"/>
      <c r="I263" s="34"/>
      <c r="K263" s="29"/>
      <c r="L263" s="29"/>
      <c r="M263" s="29"/>
      <c r="N263" s="29"/>
    </row>
    <row r="264" customFormat="false" ht="13.8" hidden="false" customHeight="false" outlineLevel="0" collapsed="false">
      <c r="A264" s="35"/>
      <c r="B264" s="35"/>
      <c r="C264" s="35"/>
      <c r="D264" s="35"/>
      <c r="E264" s="35"/>
      <c r="F264" s="35"/>
      <c r="G264" s="35"/>
      <c r="H264" s="35"/>
      <c r="I264" s="35"/>
    </row>
    <row r="265" customFormat="false" ht="13.8" hidden="false" customHeight="false" outlineLevel="0" collapsed="false">
      <c r="A265" s="20" t="s">
        <v>426</v>
      </c>
      <c r="B265" s="21" t="s">
        <v>427</v>
      </c>
      <c r="C265" s="21"/>
      <c r="D265" s="21"/>
      <c r="E265" s="21"/>
      <c r="F265" s="21"/>
      <c r="G265" s="21"/>
      <c r="H265" s="21"/>
      <c r="I265" s="22"/>
    </row>
    <row r="266" customFormat="false" ht="13.8" hidden="false" customHeight="false" outlineLevel="0" collapsed="false">
      <c r="A266" s="66" t="s">
        <v>428</v>
      </c>
      <c r="B266" s="66"/>
      <c r="C266" s="66"/>
      <c r="D266" s="66"/>
      <c r="E266" s="66"/>
      <c r="F266" s="66"/>
      <c r="G266" s="66"/>
      <c r="H266" s="66"/>
      <c r="I266" s="65"/>
      <c r="K266" s="29"/>
      <c r="L266" s="29"/>
      <c r="M266" s="29"/>
      <c r="N266" s="29"/>
    </row>
    <row r="267" customFormat="false" ht="13.8" hidden="false" customHeight="false" outlineLevel="0" collapsed="false">
      <c r="A267" s="23" t="s">
        <v>429</v>
      </c>
      <c r="B267" s="45" t="s">
        <v>21</v>
      </c>
      <c r="C267" s="23" t="s">
        <v>99</v>
      </c>
      <c r="D267" s="25" t="s">
        <v>100</v>
      </c>
      <c r="E267" s="23" t="s">
        <v>24</v>
      </c>
      <c r="F267" s="26" t="n">
        <f aca="false">'MEMORIAL DE CALCULO'!F416</f>
        <v>12</v>
      </c>
      <c r="G267" s="27"/>
      <c r="H267" s="27"/>
      <c r="I267" s="27"/>
      <c r="K267" s="29"/>
      <c r="L267" s="29"/>
      <c r="M267" s="29"/>
      <c r="N267" s="29"/>
    </row>
    <row r="268" customFormat="false" ht="13.8" hidden="false" customHeight="false" outlineLevel="0" collapsed="false">
      <c r="A268" s="23" t="s">
        <v>430</v>
      </c>
      <c r="B268" s="24" t="s">
        <v>57</v>
      </c>
      <c r="C268" s="23" t="n">
        <v>92800</v>
      </c>
      <c r="D268" s="25" t="s">
        <v>102</v>
      </c>
      <c r="E268" s="23" t="s">
        <v>103</v>
      </c>
      <c r="F268" s="26" t="n">
        <f aca="false">'MEMORIAL DE CALCULO'!F421</f>
        <v>12.8128</v>
      </c>
      <c r="G268" s="27"/>
      <c r="H268" s="27"/>
      <c r="I268" s="27"/>
      <c r="K268" s="29"/>
      <c r="L268" s="29"/>
      <c r="M268" s="29"/>
      <c r="N268" s="29"/>
    </row>
    <row r="269" customFormat="false" ht="13.8" hidden="false" customHeight="false" outlineLevel="0" collapsed="false">
      <c r="A269" s="23" t="s">
        <v>431</v>
      </c>
      <c r="B269" s="24" t="s">
        <v>57</v>
      </c>
      <c r="C269" s="23" t="n">
        <v>92803</v>
      </c>
      <c r="D269" s="25" t="s">
        <v>105</v>
      </c>
      <c r="E269" s="23" t="s">
        <v>103</v>
      </c>
      <c r="F269" s="26" t="n">
        <f aca="false">'MEMORIAL DE CALCULO'!F427</f>
        <v>29.616</v>
      </c>
      <c r="G269" s="27"/>
      <c r="H269" s="27"/>
      <c r="I269" s="27"/>
      <c r="K269" s="29"/>
      <c r="L269" s="29"/>
      <c r="M269" s="29"/>
      <c r="N269" s="2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</row>
    <row r="270" customFormat="false" ht="14.9" hidden="false" customHeight="false" outlineLevel="0" collapsed="false">
      <c r="A270" s="23" t="s">
        <v>432</v>
      </c>
      <c r="B270" s="24" t="s">
        <v>57</v>
      </c>
      <c r="C270" s="23" t="n">
        <v>96526</v>
      </c>
      <c r="D270" s="25" t="s">
        <v>107</v>
      </c>
      <c r="E270" s="23" t="s">
        <v>49</v>
      </c>
      <c r="F270" s="26" t="n">
        <f aca="false">'MEMORIAL DE CALCULO'!F431</f>
        <v>2.52</v>
      </c>
      <c r="G270" s="27"/>
      <c r="H270" s="27"/>
      <c r="I270" s="27"/>
      <c r="K270" s="29"/>
      <c r="L270" s="29"/>
      <c r="M270" s="29"/>
      <c r="N270" s="29"/>
    </row>
    <row r="271" customFormat="false" ht="14.9" hidden="false" customHeight="false" outlineLevel="0" collapsed="false">
      <c r="A271" s="23" t="s">
        <v>433</v>
      </c>
      <c r="B271" s="24" t="s">
        <v>57</v>
      </c>
      <c r="C271" s="23" t="n">
        <v>101619</v>
      </c>
      <c r="D271" s="25" t="s">
        <v>109</v>
      </c>
      <c r="E271" s="23" t="s">
        <v>49</v>
      </c>
      <c r="F271" s="26" t="n">
        <f aca="false">'MEMORIAL DE CALCULO'!F435</f>
        <v>0.63</v>
      </c>
      <c r="G271" s="27"/>
      <c r="H271" s="27"/>
      <c r="I271" s="27"/>
      <c r="K271" s="29"/>
      <c r="L271" s="29"/>
      <c r="M271" s="29"/>
      <c r="N271" s="29"/>
    </row>
    <row r="272" customFormat="false" ht="13.8" hidden="false" customHeight="false" outlineLevel="0" collapsed="false">
      <c r="A272" s="23" t="s">
        <v>434</v>
      </c>
      <c r="B272" s="24" t="s">
        <v>57</v>
      </c>
      <c r="C272" s="23" t="n">
        <v>92800</v>
      </c>
      <c r="D272" s="25" t="s">
        <v>102</v>
      </c>
      <c r="E272" s="23" t="s">
        <v>103</v>
      </c>
      <c r="F272" s="26" t="n">
        <f aca="false">'MEMORIAL DE CALCULO'!F437</f>
        <v>31.0464</v>
      </c>
      <c r="G272" s="27"/>
      <c r="H272" s="27"/>
      <c r="I272" s="27"/>
      <c r="K272" s="29"/>
      <c r="L272" s="29"/>
      <c r="M272" s="29"/>
      <c r="N272" s="29"/>
    </row>
    <row r="273" customFormat="false" ht="13.8" hidden="false" customHeight="false" outlineLevel="0" collapsed="false">
      <c r="A273" s="23" t="s">
        <v>435</v>
      </c>
      <c r="B273" s="24" t="s">
        <v>57</v>
      </c>
      <c r="C273" s="23" t="n">
        <v>92803</v>
      </c>
      <c r="D273" s="25" t="s">
        <v>105</v>
      </c>
      <c r="E273" s="23" t="s">
        <v>103</v>
      </c>
      <c r="F273" s="26" t="n">
        <f aca="false">'MEMORIAL DE CALCULO'!F442</f>
        <v>51.828</v>
      </c>
      <c r="G273" s="27"/>
      <c r="H273" s="27"/>
      <c r="I273" s="27"/>
      <c r="K273" s="29"/>
      <c r="L273" s="29"/>
      <c r="M273" s="29"/>
      <c r="N273" s="2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</row>
    <row r="274" customFormat="false" ht="14.9" hidden="false" customHeight="false" outlineLevel="0" collapsed="false">
      <c r="A274" s="23" t="s">
        <v>436</v>
      </c>
      <c r="B274" s="47" t="s">
        <v>57</v>
      </c>
      <c r="C274" s="48" t="n">
        <v>96557</v>
      </c>
      <c r="D274" s="49" t="s">
        <v>113</v>
      </c>
      <c r="E274" s="48" t="s">
        <v>49</v>
      </c>
      <c r="F274" s="50" t="n">
        <f aca="false">'MEMORIAL DE CALCULO'!F446</f>
        <v>2.52</v>
      </c>
      <c r="G274" s="51"/>
      <c r="H274" s="51"/>
      <c r="I274" s="51"/>
      <c r="K274" s="52"/>
      <c r="L274" s="52"/>
      <c r="M274" s="52"/>
      <c r="N274" s="52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</row>
    <row r="275" customFormat="false" ht="13.8" hidden="false" customHeight="false" outlineLevel="0" collapsed="false">
      <c r="A275" s="23" t="s">
        <v>437</v>
      </c>
      <c r="B275" s="24" t="s">
        <v>64</v>
      </c>
      <c r="C275" s="23" t="n">
        <v>97113</v>
      </c>
      <c r="D275" s="25" t="s">
        <v>65</v>
      </c>
      <c r="E275" s="23" t="s">
        <v>19</v>
      </c>
      <c r="F275" s="26" t="n">
        <f aca="false">'MEMORIAL DE CALCULO'!F447</f>
        <v>29</v>
      </c>
      <c r="G275" s="27"/>
      <c r="H275" s="27"/>
      <c r="I275" s="27"/>
      <c r="K275" s="42"/>
      <c r="L275" s="29"/>
      <c r="M275" s="29"/>
      <c r="N275" s="29"/>
    </row>
    <row r="276" customFormat="false" ht="13.8" hidden="false" customHeight="false" outlineLevel="0" collapsed="false">
      <c r="A276" s="23" t="s">
        <v>438</v>
      </c>
      <c r="B276" s="45" t="s">
        <v>21</v>
      </c>
      <c r="C276" s="23" t="s">
        <v>69</v>
      </c>
      <c r="D276" s="25" t="s">
        <v>70</v>
      </c>
      <c r="E276" s="23" t="s">
        <v>19</v>
      </c>
      <c r="F276" s="26" t="n">
        <f aca="false">'MEMORIAL DE CALCULO'!F448</f>
        <v>29</v>
      </c>
      <c r="G276" s="27"/>
      <c r="H276" s="27"/>
      <c r="I276" s="27"/>
      <c r="K276" s="29"/>
      <c r="L276" s="29"/>
      <c r="M276" s="29"/>
      <c r="N276" s="2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</row>
    <row r="277" customFormat="false" ht="14.9" hidden="false" customHeight="false" outlineLevel="0" collapsed="false">
      <c r="A277" s="23" t="s">
        <v>439</v>
      </c>
      <c r="B277" s="24" t="s">
        <v>57</v>
      </c>
      <c r="C277" s="23" t="n">
        <v>100324</v>
      </c>
      <c r="D277" s="41" t="s">
        <v>262</v>
      </c>
      <c r="E277" s="23" t="s">
        <v>49</v>
      </c>
      <c r="F277" s="36" t="n">
        <f aca="false">'MEMORIAL DE CALCULO'!F449</f>
        <v>2.9</v>
      </c>
      <c r="G277" s="37"/>
      <c r="H277" s="37"/>
      <c r="I277" s="37"/>
    </row>
    <row r="278" customFormat="false" ht="14.9" hidden="false" customHeight="false" outlineLevel="0" collapsed="false">
      <c r="A278" s="23" t="s">
        <v>440</v>
      </c>
      <c r="B278" s="24" t="s">
        <v>57</v>
      </c>
      <c r="C278" s="23" t="n">
        <v>101749</v>
      </c>
      <c r="D278" s="41" t="s">
        <v>264</v>
      </c>
      <c r="E278" s="23" t="s">
        <v>19</v>
      </c>
      <c r="F278" s="36" t="n">
        <f aca="false">'MEMORIAL DE CALCULO'!F450</f>
        <v>29</v>
      </c>
      <c r="G278" s="37"/>
      <c r="H278" s="37"/>
      <c r="I278" s="37"/>
    </row>
    <row r="279" customFormat="false" ht="14.9" hidden="false" customHeight="false" outlineLevel="0" collapsed="false">
      <c r="A279" s="23" t="s">
        <v>441</v>
      </c>
      <c r="B279" s="24" t="s">
        <v>57</v>
      </c>
      <c r="C279" s="23" t="n">
        <v>94990</v>
      </c>
      <c r="D279" s="41" t="s">
        <v>266</v>
      </c>
      <c r="E279" s="23" t="s">
        <v>49</v>
      </c>
      <c r="F279" s="36" t="n">
        <f aca="false">'MEMORIAL DE CALCULO'!F451</f>
        <v>4.35</v>
      </c>
      <c r="G279" s="37"/>
      <c r="H279" s="37"/>
      <c r="I279" s="37"/>
    </row>
    <row r="280" customFormat="false" ht="13.8" hidden="false" customHeight="false" outlineLevel="0" collapsed="false">
      <c r="A280" s="23" t="s">
        <v>442</v>
      </c>
      <c r="B280" s="31" t="s">
        <v>26</v>
      </c>
      <c r="C280" s="23" t="s">
        <v>443</v>
      </c>
      <c r="D280" s="41" t="s">
        <v>444</v>
      </c>
      <c r="E280" s="23" t="s">
        <v>19</v>
      </c>
      <c r="F280" s="36" t="n">
        <f aca="false">'MEMORIAL DE CALCULO'!F452</f>
        <v>35</v>
      </c>
      <c r="G280" s="37"/>
      <c r="H280" s="37"/>
      <c r="I280" s="37"/>
    </row>
    <row r="281" customFormat="false" ht="21.6" hidden="false" customHeight="false" outlineLevel="0" collapsed="false">
      <c r="A281" s="23" t="s">
        <v>445</v>
      </c>
      <c r="B281" s="24" t="s">
        <v>57</v>
      </c>
      <c r="C281" s="23" t="n">
        <v>92415</v>
      </c>
      <c r="D281" s="25" t="s">
        <v>118</v>
      </c>
      <c r="E281" s="23" t="s">
        <v>19</v>
      </c>
      <c r="F281" s="26" t="n">
        <f aca="false">'MEMORIAL DE CALCULO'!F453</f>
        <v>4.5</v>
      </c>
      <c r="G281" s="27"/>
      <c r="H281" s="27"/>
      <c r="I281" s="27"/>
      <c r="K281" s="29"/>
      <c r="L281" s="29"/>
      <c r="M281" s="29"/>
      <c r="N281" s="2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</row>
    <row r="282" customFormat="false" ht="13.8" hidden="false" customHeight="false" outlineLevel="0" collapsed="false">
      <c r="A282" s="23" t="s">
        <v>446</v>
      </c>
      <c r="B282" s="24" t="s">
        <v>57</v>
      </c>
      <c r="C282" s="23" t="n">
        <v>92800</v>
      </c>
      <c r="D282" s="25" t="s">
        <v>102</v>
      </c>
      <c r="E282" s="23" t="s">
        <v>103</v>
      </c>
      <c r="F282" s="26" t="n">
        <f aca="false">'MEMORIAL DE CALCULO'!F458</f>
        <v>9.6096</v>
      </c>
      <c r="G282" s="27"/>
      <c r="H282" s="27"/>
      <c r="I282" s="27"/>
      <c r="K282" s="29"/>
      <c r="L282" s="29"/>
      <c r="M282" s="29"/>
      <c r="N282" s="29"/>
    </row>
    <row r="283" customFormat="false" ht="13.8" hidden="false" customHeight="false" outlineLevel="0" collapsed="false">
      <c r="A283" s="23" t="s">
        <v>447</v>
      </c>
      <c r="B283" s="24" t="s">
        <v>57</v>
      </c>
      <c r="C283" s="23" t="n">
        <v>92803</v>
      </c>
      <c r="D283" s="25" t="s">
        <v>105</v>
      </c>
      <c r="E283" s="23" t="s">
        <v>103</v>
      </c>
      <c r="F283" s="26" t="n">
        <f aca="false">'MEMORIAL DE CALCULO'!F463</f>
        <v>22.212</v>
      </c>
      <c r="G283" s="27"/>
      <c r="H283" s="27"/>
      <c r="I283" s="27"/>
      <c r="K283" s="29"/>
      <c r="L283" s="29"/>
      <c r="M283" s="29"/>
      <c r="N283" s="2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</row>
    <row r="284" customFormat="false" ht="14.9" hidden="false" customHeight="false" outlineLevel="0" collapsed="false">
      <c r="A284" s="23" t="s">
        <v>448</v>
      </c>
      <c r="B284" s="24" t="s">
        <v>57</v>
      </c>
      <c r="C284" s="23" t="n">
        <v>103672</v>
      </c>
      <c r="D284" s="25" t="s">
        <v>122</v>
      </c>
      <c r="E284" s="23" t="s">
        <v>49</v>
      </c>
      <c r="F284" s="26" t="n">
        <f aca="false">'MEMORIAL DE CALCULO'!F467</f>
        <v>0.5625</v>
      </c>
      <c r="G284" s="27"/>
      <c r="H284" s="27"/>
      <c r="I284" s="27"/>
      <c r="K284" s="29"/>
      <c r="L284" s="29"/>
      <c r="M284" s="29"/>
      <c r="N284" s="29"/>
    </row>
    <row r="285" customFormat="false" ht="13.8" hidden="false" customHeight="false" outlineLevel="0" collapsed="false">
      <c r="A285" s="23" t="s">
        <v>449</v>
      </c>
      <c r="B285" s="30" t="s">
        <v>21</v>
      </c>
      <c r="C285" s="23" t="s">
        <v>450</v>
      </c>
      <c r="D285" s="41" t="s">
        <v>451</v>
      </c>
      <c r="E285" s="23" t="s">
        <v>19</v>
      </c>
      <c r="F285" s="36" t="n">
        <f aca="false">'MEMORIAL DE CALCULO'!F469</f>
        <v>5.149</v>
      </c>
      <c r="G285" s="37"/>
      <c r="H285" s="37"/>
      <c r="I285" s="37"/>
    </row>
    <row r="286" customFormat="false" ht="13.8" hidden="false" customHeight="false" outlineLevel="0" collapsed="false">
      <c r="A286" s="66" t="s">
        <v>452</v>
      </c>
      <c r="B286" s="66"/>
      <c r="C286" s="66"/>
      <c r="D286" s="66"/>
      <c r="E286" s="66"/>
      <c r="F286" s="66"/>
      <c r="G286" s="66"/>
      <c r="H286" s="66"/>
      <c r="I286" s="65"/>
      <c r="K286" s="29"/>
      <c r="L286" s="29"/>
      <c r="M286" s="29"/>
      <c r="N286" s="29"/>
    </row>
    <row r="287" customFormat="false" ht="13.8" hidden="false" customHeight="false" outlineLevel="0" collapsed="false">
      <c r="A287" s="23" t="s">
        <v>453</v>
      </c>
      <c r="B287" s="45" t="s">
        <v>21</v>
      </c>
      <c r="C287" s="23" t="s">
        <v>99</v>
      </c>
      <c r="D287" s="25" t="s">
        <v>100</v>
      </c>
      <c r="E287" s="23" t="s">
        <v>24</v>
      </c>
      <c r="F287" s="26" t="n">
        <f aca="false">'MEMORIAL DE CALCULO'!F475</f>
        <v>12</v>
      </c>
      <c r="G287" s="27"/>
      <c r="H287" s="27"/>
      <c r="I287" s="27"/>
      <c r="K287" s="29"/>
      <c r="L287" s="29"/>
      <c r="M287" s="29"/>
      <c r="N287" s="29"/>
    </row>
    <row r="288" customFormat="false" ht="13.8" hidden="false" customHeight="false" outlineLevel="0" collapsed="false">
      <c r="A288" s="23" t="s">
        <v>454</v>
      </c>
      <c r="B288" s="24" t="s">
        <v>57</v>
      </c>
      <c r="C288" s="23" t="n">
        <v>92800</v>
      </c>
      <c r="D288" s="25" t="s">
        <v>102</v>
      </c>
      <c r="E288" s="23" t="s">
        <v>103</v>
      </c>
      <c r="F288" s="26" t="n">
        <f aca="false">'MEMORIAL DE CALCULO'!F480</f>
        <v>12.8128</v>
      </c>
      <c r="G288" s="27"/>
      <c r="H288" s="27"/>
      <c r="I288" s="27"/>
      <c r="K288" s="29"/>
      <c r="L288" s="29"/>
      <c r="M288" s="29"/>
      <c r="N288" s="29"/>
    </row>
    <row r="289" customFormat="false" ht="13.8" hidden="false" customHeight="false" outlineLevel="0" collapsed="false">
      <c r="A289" s="23" t="s">
        <v>455</v>
      </c>
      <c r="B289" s="24" t="s">
        <v>57</v>
      </c>
      <c r="C289" s="23" t="n">
        <v>92803</v>
      </c>
      <c r="D289" s="25" t="s">
        <v>105</v>
      </c>
      <c r="E289" s="23" t="s">
        <v>103</v>
      </c>
      <c r="F289" s="26" t="n">
        <f aca="false">'MEMORIAL DE CALCULO'!F486</f>
        <v>29.616</v>
      </c>
      <c r="G289" s="27"/>
      <c r="H289" s="27"/>
      <c r="I289" s="27"/>
      <c r="K289" s="29"/>
      <c r="L289" s="29"/>
      <c r="M289" s="29"/>
      <c r="N289" s="2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</row>
    <row r="290" customFormat="false" ht="14.9" hidden="false" customHeight="false" outlineLevel="0" collapsed="false">
      <c r="A290" s="23" t="s">
        <v>456</v>
      </c>
      <c r="B290" s="24" t="s">
        <v>57</v>
      </c>
      <c r="C290" s="23" t="n">
        <v>96526</v>
      </c>
      <c r="D290" s="25" t="s">
        <v>107</v>
      </c>
      <c r="E290" s="23" t="s">
        <v>49</v>
      </c>
      <c r="F290" s="26" t="n">
        <f aca="false">'MEMORIAL DE CALCULO'!F490</f>
        <v>1.92</v>
      </c>
      <c r="G290" s="27"/>
      <c r="H290" s="27"/>
      <c r="I290" s="27"/>
      <c r="K290" s="29"/>
      <c r="L290" s="29"/>
      <c r="M290" s="29"/>
      <c r="N290" s="29"/>
    </row>
    <row r="291" customFormat="false" ht="14.9" hidden="false" customHeight="false" outlineLevel="0" collapsed="false">
      <c r="A291" s="23" t="s">
        <v>457</v>
      </c>
      <c r="B291" s="24" t="s">
        <v>57</v>
      </c>
      <c r="C291" s="23" t="n">
        <v>101619</v>
      </c>
      <c r="D291" s="25" t="s">
        <v>109</v>
      </c>
      <c r="E291" s="23" t="s">
        <v>49</v>
      </c>
      <c r="F291" s="26" t="n">
        <f aca="false">'MEMORIAL DE CALCULO'!F494</f>
        <v>0.48</v>
      </c>
      <c r="G291" s="27"/>
      <c r="H291" s="27"/>
      <c r="I291" s="27"/>
      <c r="K291" s="29"/>
      <c r="L291" s="29"/>
      <c r="M291" s="29"/>
      <c r="N291" s="29"/>
    </row>
    <row r="292" customFormat="false" ht="13.8" hidden="false" customHeight="false" outlineLevel="0" collapsed="false">
      <c r="A292" s="23" t="s">
        <v>458</v>
      </c>
      <c r="B292" s="24" t="s">
        <v>57</v>
      </c>
      <c r="C292" s="23" t="n">
        <v>92800</v>
      </c>
      <c r="D292" s="25" t="s">
        <v>102</v>
      </c>
      <c r="E292" s="23" t="s">
        <v>103</v>
      </c>
      <c r="F292" s="26" t="n">
        <f aca="false">'MEMORIAL DE CALCULO'!F496</f>
        <v>23.6544</v>
      </c>
      <c r="G292" s="27"/>
      <c r="H292" s="27"/>
      <c r="I292" s="27"/>
      <c r="K292" s="29"/>
      <c r="L292" s="29"/>
      <c r="M292" s="29"/>
      <c r="N292" s="29"/>
    </row>
    <row r="293" customFormat="false" ht="13.8" hidden="false" customHeight="false" outlineLevel="0" collapsed="false">
      <c r="A293" s="23" t="s">
        <v>459</v>
      </c>
      <c r="B293" s="24" t="s">
        <v>57</v>
      </c>
      <c r="C293" s="23" t="n">
        <v>92803</v>
      </c>
      <c r="D293" s="25" t="s">
        <v>105</v>
      </c>
      <c r="E293" s="23" t="s">
        <v>103</v>
      </c>
      <c r="F293" s="26" t="n">
        <f aca="false">'MEMORIAL DE CALCULO'!F501</f>
        <v>39.488</v>
      </c>
      <c r="G293" s="27"/>
      <c r="H293" s="27"/>
      <c r="I293" s="27"/>
      <c r="K293" s="29"/>
      <c r="L293" s="29"/>
      <c r="M293" s="29"/>
      <c r="N293" s="2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</row>
    <row r="294" customFormat="false" ht="14.9" hidden="false" customHeight="false" outlineLevel="0" collapsed="false">
      <c r="A294" s="23" t="s">
        <v>460</v>
      </c>
      <c r="B294" s="47" t="s">
        <v>57</v>
      </c>
      <c r="C294" s="48" t="n">
        <v>96557</v>
      </c>
      <c r="D294" s="49" t="s">
        <v>113</v>
      </c>
      <c r="E294" s="48" t="s">
        <v>49</v>
      </c>
      <c r="F294" s="50" t="n">
        <f aca="false">'MEMORIAL DE CALCULO'!F505</f>
        <v>1.92</v>
      </c>
      <c r="G294" s="51"/>
      <c r="H294" s="51"/>
      <c r="I294" s="51"/>
      <c r="K294" s="52"/>
      <c r="L294" s="52"/>
      <c r="M294" s="52"/>
      <c r="N294" s="52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</row>
    <row r="295" customFormat="false" ht="13.8" hidden="false" customHeight="false" outlineLevel="0" collapsed="false">
      <c r="A295" s="23" t="s">
        <v>461</v>
      </c>
      <c r="B295" s="24" t="s">
        <v>64</v>
      </c>
      <c r="C295" s="23" t="n">
        <v>97113</v>
      </c>
      <c r="D295" s="25" t="s">
        <v>65</v>
      </c>
      <c r="E295" s="23" t="s">
        <v>19</v>
      </c>
      <c r="F295" s="26" t="n">
        <f aca="false">'MEMORIAL DE CALCULO'!F506</f>
        <v>16.9</v>
      </c>
      <c r="G295" s="27"/>
      <c r="H295" s="27"/>
      <c r="I295" s="27"/>
      <c r="K295" s="42"/>
      <c r="L295" s="29"/>
      <c r="M295" s="29"/>
      <c r="N295" s="29"/>
    </row>
    <row r="296" customFormat="false" ht="13.8" hidden="false" customHeight="false" outlineLevel="0" collapsed="false">
      <c r="A296" s="23" t="s">
        <v>462</v>
      </c>
      <c r="B296" s="30" t="s">
        <v>21</v>
      </c>
      <c r="C296" s="23" t="s">
        <v>69</v>
      </c>
      <c r="D296" s="25" t="s">
        <v>70</v>
      </c>
      <c r="E296" s="23" t="s">
        <v>19</v>
      </c>
      <c r="F296" s="26" t="n">
        <f aca="false">'MEMORIAL DE CALCULO'!F507</f>
        <v>16.9</v>
      </c>
      <c r="G296" s="27"/>
      <c r="H296" s="27"/>
      <c r="I296" s="27"/>
      <c r="K296" s="29"/>
      <c r="L296" s="29"/>
      <c r="M296" s="29"/>
      <c r="N296" s="2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</row>
    <row r="297" customFormat="false" ht="14.9" hidden="false" customHeight="false" outlineLevel="0" collapsed="false">
      <c r="A297" s="23" t="s">
        <v>463</v>
      </c>
      <c r="B297" s="24" t="s">
        <v>57</v>
      </c>
      <c r="C297" s="23" t="n">
        <v>100324</v>
      </c>
      <c r="D297" s="41" t="s">
        <v>262</v>
      </c>
      <c r="E297" s="23" t="s">
        <v>49</v>
      </c>
      <c r="F297" s="36" t="n">
        <f aca="false">'MEMORIAL DE CALCULO'!F508</f>
        <v>1.69</v>
      </c>
      <c r="G297" s="37"/>
      <c r="H297" s="37"/>
      <c r="I297" s="37"/>
    </row>
    <row r="298" customFormat="false" ht="14.9" hidden="false" customHeight="false" outlineLevel="0" collapsed="false">
      <c r="A298" s="23" t="s">
        <v>464</v>
      </c>
      <c r="B298" s="24" t="s">
        <v>57</v>
      </c>
      <c r="C298" s="23" t="n">
        <v>101749</v>
      </c>
      <c r="D298" s="41" t="s">
        <v>264</v>
      </c>
      <c r="E298" s="23" t="s">
        <v>19</v>
      </c>
      <c r="F298" s="36" t="n">
        <f aca="false">'MEMORIAL DE CALCULO'!F509</f>
        <v>16.9</v>
      </c>
      <c r="G298" s="37"/>
      <c r="H298" s="37"/>
      <c r="I298" s="37"/>
    </row>
    <row r="299" customFormat="false" ht="14.9" hidden="false" customHeight="false" outlineLevel="0" collapsed="false">
      <c r="A299" s="23" t="s">
        <v>465</v>
      </c>
      <c r="B299" s="24" t="s">
        <v>57</v>
      </c>
      <c r="C299" s="23" t="n">
        <v>94990</v>
      </c>
      <c r="D299" s="41" t="s">
        <v>266</v>
      </c>
      <c r="E299" s="23" t="s">
        <v>49</v>
      </c>
      <c r="F299" s="36" t="n">
        <f aca="false">'MEMORIAL DE CALCULO'!F510</f>
        <v>2.535</v>
      </c>
      <c r="G299" s="37"/>
      <c r="H299" s="37"/>
      <c r="I299" s="37"/>
    </row>
    <row r="300" customFormat="false" ht="13.8" hidden="false" customHeight="false" outlineLevel="0" collapsed="false">
      <c r="A300" s="23" t="s">
        <v>466</v>
      </c>
      <c r="B300" s="31" t="s">
        <v>26</v>
      </c>
      <c r="C300" s="23" t="s">
        <v>443</v>
      </c>
      <c r="D300" s="41" t="s">
        <v>444</v>
      </c>
      <c r="E300" s="23" t="s">
        <v>19</v>
      </c>
      <c r="F300" s="36" t="n">
        <f aca="false">'MEMORIAL DE CALCULO'!F511</f>
        <v>35</v>
      </c>
      <c r="G300" s="37"/>
      <c r="H300" s="37"/>
      <c r="I300" s="37"/>
    </row>
    <row r="301" customFormat="false" ht="21.6" hidden="false" customHeight="false" outlineLevel="0" collapsed="false">
      <c r="A301" s="23" t="s">
        <v>467</v>
      </c>
      <c r="B301" s="24" t="s">
        <v>57</v>
      </c>
      <c r="C301" s="23" t="n">
        <v>92415</v>
      </c>
      <c r="D301" s="25" t="s">
        <v>118</v>
      </c>
      <c r="E301" s="23" t="s">
        <v>19</v>
      </c>
      <c r="F301" s="26" t="n">
        <f aca="false">'MEMORIAL DE CALCULO'!F512</f>
        <v>4.5</v>
      </c>
      <c r="G301" s="27"/>
      <c r="H301" s="27"/>
      <c r="I301" s="27"/>
      <c r="K301" s="29"/>
      <c r="L301" s="29"/>
      <c r="M301" s="29"/>
      <c r="N301" s="2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</row>
    <row r="302" customFormat="false" ht="13.8" hidden="false" customHeight="false" outlineLevel="0" collapsed="false">
      <c r="A302" s="23" t="s">
        <v>468</v>
      </c>
      <c r="B302" s="24" t="s">
        <v>57</v>
      </c>
      <c r="C302" s="23" t="n">
        <v>92800</v>
      </c>
      <c r="D302" s="25" t="s">
        <v>102</v>
      </c>
      <c r="E302" s="23" t="s">
        <v>103</v>
      </c>
      <c r="F302" s="26" t="n">
        <f aca="false">'MEMORIAL DE CALCULO'!F517</f>
        <v>9.6096</v>
      </c>
      <c r="G302" s="27"/>
      <c r="H302" s="27"/>
      <c r="I302" s="27"/>
      <c r="K302" s="29"/>
      <c r="L302" s="29"/>
      <c r="M302" s="29"/>
      <c r="N302" s="29"/>
    </row>
    <row r="303" customFormat="false" ht="13.8" hidden="false" customHeight="false" outlineLevel="0" collapsed="false">
      <c r="A303" s="23" t="s">
        <v>469</v>
      </c>
      <c r="B303" s="24" t="s">
        <v>57</v>
      </c>
      <c r="C303" s="23" t="n">
        <v>92803</v>
      </c>
      <c r="D303" s="25" t="s">
        <v>105</v>
      </c>
      <c r="E303" s="23" t="s">
        <v>103</v>
      </c>
      <c r="F303" s="26" t="n">
        <f aca="false">'MEMORIAL DE CALCULO'!F522</f>
        <v>22.212</v>
      </c>
      <c r="G303" s="27"/>
      <c r="H303" s="27"/>
      <c r="I303" s="27"/>
      <c r="K303" s="29"/>
      <c r="L303" s="29"/>
      <c r="M303" s="29"/>
      <c r="N303" s="2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</row>
    <row r="304" customFormat="false" ht="14.9" hidden="false" customHeight="false" outlineLevel="0" collapsed="false">
      <c r="A304" s="23" t="s">
        <v>470</v>
      </c>
      <c r="B304" s="24" t="s">
        <v>57</v>
      </c>
      <c r="C304" s="23" t="n">
        <v>103672</v>
      </c>
      <c r="D304" s="25" t="s">
        <v>122</v>
      </c>
      <c r="E304" s="23" t="s">
        <v>49</v>
      </c>
      <c r="F304" s="26" t="n">
        <f aca="false">'MEMORIAL DE CALCULO'!F526</f>
        <v>0.5625</v>
      </c>
      <c r="G304" s="27"/>
      <c r="H304" s="27"/>
      <c r="I304" s="27"/>
      <c r="K304" s="29"/>
      <c r="L304" s="29"/>
      <c r="M304" s="29"/>
      <c r="N304" s="29"/>
    </row>
    <row r="305" customFormat="false" ht="13.8" hidden="false" customHeight="false" outlineLevel="0" collapsed="false">
      <c r="A305" s="23" t="s">
        <v>471</v>
      </c>
      <c r="B305" s="30" t="s">
        <v>21</v>
      </c>
      <c r="C305" s="23" t="s">
        <v>450</v>
      </c>
      <c r="D305" s="41" t="s">
        <v>451</v>
      </c>
      <c r="E305" s="23" t="s">
        <v>19</v>
      </c>
      <c r="F305" s="36" t="n">
        <f aca="false">'MEMORIAL DE CALCULO'!F532</f>
        <v>3.9875</v>
      </c>
      <c r="G305" s="37"/>
      <c r="H305" s="37"/>
      <c r="I305" s="37"/>
    </row>
    <row r="306" customFormat="false" ht="13.8" hidden="false" customHeight="false" outlineLevel="0" collapsed="false">
      <c r="A306" s="32"/>
      <c r="B306" s="32"/>
      <c r="C306" s="32"/>
      <c r="D306" s="32"/>
      <c r="E306" s="32"/>
      <c r="F306" s="32"/>
      <c r="G306" s="33" t="s">
        <v>472</v>
      </c>
      <c r="H306" s="33"/>
      <c r="I306" s="34"/>
      <c r="K306" s="29"/>
      <c r="L306" s="29"/>
      <c r="M306" s="29"/>
      <c r="N306" s="29"/>
    </row>
    <row r="307" customFormat="false" ht="13.8" hidden="false" customHeight="false" outlineLevel="0" collapsed="false">
      <c r="A307" s="35"/>
      <c r="B307" s="35"/>
      <c r="C307" s="35"/>
      <c r="D307" s="35"/>
      <c r="E307" s="35"/>
      <c r="F307" s="35"/>
      <c r="G307" s="35"/>
      <c r="H307" s="35"/>
      <c r="I307" s="35"/>
      <c r="K307" s="29"/>
      <c r="L307" s="29"/>
      <c r="M307" s="29"/>
      <c r="N307" s="29"/>
    </row>
    <row r="308" customFormat="false" ht="13.8" hidden="false" customHeight="false" outlineLevel="0" collapsed="false">
      <c r="A308" s="67" t="s">
        <v>473</v>
      </c>
      <c r="B308" s="68" t="s">
        <v>474</v>
      </c>
      <c r="C308" s="68"/>
      <c r="D308" s="69"/>
      <c r="E308" s="68"/>
      <c r="F308" s="70"/>
      <c r="G308" s="68"/>
      <c r="H308" s="68"/>
      <c r="I308" s="71"/>
    </row>
    <row r="309" customFormat="false" ht="13.8" hidden="false" customHeight="false" outlineLevel="0" collapsed="false">
      <c r="A309" s="23" t="s">
        <v>475</v>
      </c>
      <c r="B309" s="31" t="s">
        <v>26</v>
      </c>
      <c r="C309" s="23" t="s">
        <v>476</v>
      </c>
      <c r="D309" s="41" t="s">
        <v>477</v>
      </c>
      <c r="E309" s="23" t="s">
        <v>49</v>
      </c>
      <c r="F309" s="36" t="n">
        <f aca="false">'MEMORIAL DE CALCULO'!F534</f>
        <v>17.0805</v>
      </c>
      <c r="G309" s="37"/>
      <c r="H309" s="37"/>
      <c r="I309" s="37"/>
    </row>
    <row r="310" customFormat="false" ht="13.8" hidden="false" customHeight="false" outlineLevel="0" collapsed="false">
      <c r="A310" s="23" t="s">
        <v>478</v>
      </c>
      <c r="B310" s="30" t="s">
        <v>21</v>
      </c>
      <c r="C310" s="23" t="s">
        <v>479</v>
      </c>
      <c r="D310" s="41" t="s">
        <v>480</v>
      </c>
      <c r="E310" s="23" t="s">
        <v>19</v>
      </c>
      <c r="F310" s="36" t="n">
        <f aca="false">'MEMORIAL DE CALCULO'!F538</f>
        <v>112.675</v>
      </c>
      <c r="G310" s="37"/>
      <c r="H310" s="37"/>
      <c r="I310" s="37"/>
    </row>
    <row r="311" customFormat="false" ht="13.8" hidden="false" customHeight="false" outlineLevel="0" collapsed="false">
      <c r="A311" s="23" t="s">
        <v>481</v>
      </c>
      <c r="B311" s="30" t="s">
        <v>21</v>
      </c>
      <c r="C311" s="23" t="s">
        <v>162</v>
      </c>
      <c r="D311" s="25" t="s">
        <v>163</v>
      </c>
      <c r="E311" s="23" t="s">
        <v>19</v>
      </c>
      <c r="F311" s="36" t="n">
        <f aca="false">'MEMORIAL DE CALCULO'!F542</f>
        <v>60.59</v>
      </c>
      <c r="G311" s="27"/>
      <c r="H311" s="37"/>
      <c r="I311" s="37"/>
    </row>
    <row r="312" customFormat="false" ht="14.9" hidden="false" customHeight="false" outlineLevel="0" collapsed="false">
      <c r="A312" s="23" t="s">
        <v>482</v>
      </c>
      <c r="B312" s="24" t="s">
        <v>57</v>
      </c>
      <c r="C312" s="23" t="n">
        <v>88489</v>
      </c>
      <c r="D312" s="25" t="s">
        <v>172</v>
      </c>
      <c r="E312" s="23" t="s">
        <v>19</v>
      </c>
      <c r="F312" s="36" t="n">
        <f aca="false">'MEMORIAL DE CALCULO'!F543</f>
        <v>60.59</v>
      </c>
      <c r="G312" s="27"/>
      <c r="H312" s="37"/>
      <c r="I312" s="37"/>
    </row>
    <row r="313" customFormat="false" ht="14.9" hidden="false" customHeight="false" outlineLevel="0" collapsed="false">
      <c r="A313" s="23" t="s">
        <v>483</v>
      </c>
      <c r="B313" s="24" t="s">
        <v>57</v>
      </c>
      <c r="C313" s="23" t="n">
        <v>101749</v>
      </c>
      <c r="D313" s="41" t="s">
        <v>264</v>
      </c>
      <c r="E313" s="23" t="s">
        <v>19</v>
      </c>
      <c r="F313" s="36" t="n">
        <f aca="false">'MEMORIAL DE CALCULO'!F544</f>
        <v>62.8</v>
      </c>
      <c r="G313" s="37"/>
      <c r="H313" s="37"/>
      <c r="I313" s="37"/>
    </row>
    <row r="314" customFormat="false" ht="13.8" hidden="false" customHeight="false" outlineLevel="0" collapsed="false">
      <c r="A314" s="23" t="s">
        <v>484</v>
      </c>
      <c r="B314" s="30" t="s">
        <v>21</v>
      </c>
      <c r="C314" s="23" t="s">
        <v>485</v>
      </c>
      <c r="D314" s="41" t="s">
        <v>486</v>
      </c>
      <c r="E314" s="23" t="s">
        <v>19</v>
      </c>
      <c r="F314" s="36" t="n">
        <f aca="false">'MEMORIAL DE CALCULO'!F545</f>
        <v>391.74</v>
      </c>
      <c r="G314" s="37"/>
      <c r="H314" s="37"/>
      <c r="I314" s="37"/>
    </row>
    <row r="315" customFormat="false" ht="14.9" hidden="false" customHeight="false" outlineLevel="0" collapsed="false">
      <c r="A315" s="23" t="s">
        <v>487</v>
      </c>
      <c r="B315" s="24" t="s">
        <v>57</v>
      </c>
      <c r="C315" s="23" t="n">
        <v>101174</v>
      </c>
      <c r="D315" s="25" t="s">
        <v>488</v>
      </c>
      <c r="E315" s="23" t="s">
        <v>24</v>
      </c>
      <c r="F315" s="26" t="n">
        <f aca="false">'MEMORIAL DE CALCULO'!F546</f>
        <v>39</v>
      </c>
      <c r="G315" s="27"/>
      <c r="H315" s="37"/>
      <c r="I315" s="37"/>
      <c r="K315" s="29"/>
      <c r="L315" s="29"/>
      <c r="M315" s="29"/>
      <c r="N315" s="29"/>
    </row>
    <row r="316" customFormat="false" ht="13.8" hidden="false" customHeight="false" outlineLevel="0" collapsed="false">
      <c r="A316" s="23" t="s">
        <v>489</v>
      </c>
      <c r="B316" s="24" t="s">
        <v>57</v>
      </c>
      <c r="C316" s="23" t="n">
        <v>92800</v>
      </c>
      <c r="D316" s="25" t="s">
        <v>102</v>
      </c>
      <c r="E316" s="23" t="s">
        <v>103</v>
      </c>
      <c r="F316" s="26" t="n">
        <f aca="false">'MEMORIAL DE CALCULO'!F547</f>
        <v>41.64</v>
      </c>
      <c r="G316" s="27"/>
      <c r="H316" s="37"/>
      <c r="I316" s="37"/>
      <c r="K316" s="29"/>
      <c r="L316" s="29"/>
      <c r="M316" s="29"/>
      <c r="N316" s="29"/>
    </row>
    <row r="317" customFormat="false" ht="14.9" hidden="false" customHeight="false" outlineLevel="0" collapsed="false">
      <c r="A317" s="23" t="s">
        <v>490</v>
      </c>
      <c r="B317" s="24" t="s">
        <v>57</v>
      </c>
      <c r="C317" s="23" t="n">
        <v>96526</v>
      </c>
      <c r="D317" s="25" t="s">
        <v>107</v>
      </c>
      <c r="E317" s="23" t="s">
        <v>49</v>
      </c>
      <c r="F317" s="26" t="n">
        <f aca="false">'MEMORIAL DE CALCULO'!F552</f>
        <v>9.537</v>
      </c>
      <c r="G317" s="27"/>
      <c r="H317" s="37"/>
      <c r="I317" s="37"/>
      <c r="K317" s="29"/>
      <c r="L317" s="29"/>
      <c r="M317" s="29"/>
      <c r="N317" s="29"/>
    </row>
    <row r="318" customFormat="false" ht="14.9" hidden="false" customHeight="false" outlineLevel="0" collapsed="false">
      <c r="A318" s="23" t="s">
        <v>491</v>
      </c>
      <c r="B318" s="24" t="s">
        <v>57</v>
      </c>
      <c r="C318" s="23" t="n">
        <v>101619</v>
      </c>
      <c r="D318" s="25" t="s">
        <v>109</v>
      </c>
      <c r="E318" s="23" t="s">
        <v>49</v>
      </c>
      <c r="F318" s="26" t="n">
        <f aca="false">'MEMORIAL DE CALCULO'!F553</f>
        <v>3.179</v>
      </c>
      <c r="G318" s="27"/>
      <c r="H318" s="37"/>
      <c r="I318" s="37"/>
      <c r="K318" s="29"/>
      <c r="L318" s="29"/>
      <c r="M318" s="29"/>
      <c r="N318" s="29"/>
    </row>
    <row r="319" customFormat="false" ht="13.8" hidden="false" customHeight="false" outlineLevel="0" collapsed="false">
      <c r="A319" s="23" t="s">
        <v>492</v>
      </c>
      <c r="B319" s="24" t="s">
        <v>57</v>
      </c>
      <c r="C319" s="23" t="n">
        <v>92800</v>
      </c>
      <c r="D319" s="25" t="s">
        <v>102</v>
      </c>
      <c r="E319" s="23" t="s">
        <v>103</v>
      </c>
      <c r="F319" s="26" t="n">
        <f aca="false">'MEMORIAL DE CALCULO'!F554</f>
        <v>85.37</v>
      </c>
      <c r="G319" s="27"/>
      <c r="H319" s="37"/>
      <c r="I319" s="37"/>
      <c r="K319" s="29"/>
      <c r="L319" s="29"/>
      <c r="M319" s="29"/>
      <c r="N319" s="29"/>
    </row>
    <row r="320" customFormat="false" ht="13.8" hidden="false" customHeight="false" outlineLevel="0" collapsed="false">
      <c r="A320" s="23" t="s">
        <v>493</v>
      </c>
      <c r="B320" s="24" t="s">
        <v>57</v>
      </c>
      <c r="C320" s="23" t="n">
        <v>92803</v>
      </c>
      <c r="D320" s="25" t="s">
        <v>105</v>
      </c>
      <c r="E320" s="23" t="s">
        <v>103</v>
      </c>
      <c r="F320" s="26" t="n">
        <f aca="false">'MEMORIAL DE CALCULO'!F559</f>
        <v>194.1</v>
      </c>
      <c r="G320" s="27"/>
      <c r="H320" s="37"/>
      <c r="I320" s="37"/>
      <c r="K320" s="29"/>
      <c r="L320" s="29"/>
      <c r="M320" s="29"/>
      <c r="N320" s="2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</row>
    <row r="321" customFormat="false" ht="14.9" hidden="false" customHeight="false" outlineLevel="0" collapsed="false">
      <c r="A321" s="23" t="s">
        <v>494</v>
      </c>
      <c r="B321" s="24" t="s">
        <v>57</v>
      </c>
      <c r="C321" s="23" t="n">
        <v>96557</v>
      </c>
      <c r="D321" s="25" t="s">
        <v>113</v>
      </c>
      <c r="E321" s="23" t="s">
        <v>49</v>
      </c>
      <c r="F321" s="26" t="n">
        <f aca="false">'MEMORIAL DE CALCULO'!F563</f>
        <v>9.537</v>
      </c>
      <c r="G321" s="27"/>
      <c r="H321" s="37"/>
      <c r="I321" s="37"/>
      <c r="K321" s="29"/>
      <c r="L321" s="29"/>
      <c r="M321" s="29"/>
      <c r="N321" s="2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</row>
    <row r="322" customFormat="false" ht="13.8" hidden="false" customHeight="false" outlineLevel="0" collapsed="false">
      <c r="A322" s="32"/>
      <c r="B322" s="32"/>
      <c r="C322" s="32"/>
      <c r="D322" s="32"/>
      <c r="E322" s="32"/>
      <c r="F322" s="32"/>
      <c r="G322" s="33" t="s">
        <v>495</v>
      </c>
      <c r="H322" s="33"/>
      <c r="I322" s="34"/>
      <c r="K322" s="29"/>
      <c r="L322" s="29"/>
      <c r="M322" s="29"/>
      <c r="N322" s="29"/>
    </row>
    <row r="323" customFormat="false" ht="13.8" hidden="false" customHeight="false" outlineLevel="0" collapsed="false">
      <c r="A323" s="35"/>
      <c r="B323" s="35"/>
      <c r="C323" s="35"/>
      <c r="D323" s="35"/>
      <c r="E323" s="35"/>
      <c r="F323" s="35"/>
      <c r="G323" s="35"/>
      <c r="H323" s="35"/>
      <c r="I323" s="35"/>
      <c r="K323" s="29"/>
      <c r="L323" s="29"/>
      <c r="M323" s="29"/>
      <c r="N323" s="29"/>
    </row>
    <row r="324" customFormat="false" ht="13.8" hidden="false" customHeight="false" outlineLevel="0" collapsed="false">
      <c r="A324" s="20" t="s">
        <v>496</v>
      </c>
      <c r="B324" s="21" t="s">
        <v>497</v>
      </c>
      <c r="C324" s="21"/>
      <c r="D324" s="21"/>
      <c r="E324" s="21"/>
      <c r="F324" s="21"/>
      <c r="G324" s="21"/>
      <c r="H324" s="21"/>
      <c r="I324" s="22"/>
    </row>
    <row r="325" customFormat="false" ht="13.8" hidden="false" customHeight="false" outlineLevel="0" collapsed="false">
      <c r="A325" s="66" t="s">
        <v>498</v>
      </c>
      <c r="B325" s="66"/>
      <c r="C325" s="66"/>
      <c r="D325" s="66"/>
      <c r="E325" s="66"/>
      <c r="F325" s="66"/>
      <c r="G325" s="66"/>
      <c r="H325" s="66"/>
      <c r="I325" s="65"/>
      <c r="K325" s="29"/>
      <c r="L325" s="29"/>
      <c r="M325" s="29"/>
      <c r="N325" s="29"/>
    </row>
    <row r="326" customFormat="false" ht="14.9" hidden="false" customHeight="false" outlineLevel="0" collapsed="false">
      <c r="A326" s="23" t="s">
        <v>499</v>
      </c>
      <c r="B326" s="45" t="s">
        <v>21</v>
      </c>
      <c r="C326" s="23" t="s">
        <v>500</v>
      </c>
      <c r="D326" s="25" t="s">
        <v>501</v>
      </c>
      <c r="E326" s="23" t="s">
        <v>49</v>
      </c>
      <c r="F326" s="26" t="n">
        <f aca="false">'MEMORIAL DE CALCULO'!F565</f>
        <v>3.361</v>
      </c>
      <c r="G326" s="27"/>
      <c r="H326" s="27"/>
      <c r="I326" s="27"/>
      <c r="K326" s="29"/>
      <c r="L326" s="29"/>
      <c r="M326" s="29"/>
      <c r="N326" s="29"/>
    </row>
    <row r="327" customFormat="false" ht="13.8" hidden="false" customHeight="false" outlineLevel="0" collapsed="false">
      <c r="A327" s="23" t="s">
        <v>502</v>
      </c>
      <c r="B327" s="30" t="s">
        <v>21</v>
      </c>
      <c r="C327" s="23" t="s">
        <v>254</v>
      </c>
      <c r="D327" s="25" t="s">
        <v>255</v>
      </c>
      <c r="E327" s="23" t="s">
        <v>49</v>
      </c>
      <c r="F327" s="26" t="n">
        <f aca="false">'MEMORIAL DE CALCULO'!F566</f>
        <v>3.361</v>
      </c>
      <c r="G327" s="40"/>
      <c r="H327" s="27"/>
      <c r="I327" s="27"/>
    </row>
    <row r="328" customFormat="false" ht="21.6" hidden="false" customHeight="false" outlineLevel="0" collapsed="false">
      <c r="A328" s="23" t="s">
        <v>503</v>
      </c>
      <c r="B328" s="24" t="s">
        <v>57</v>
      </c>
      <c r="C328" s="23" t="n">
        <v>100982</v>
      </c>
      <c r="D328" s="41" t="s">
        <v>257</v>
      </c>
      <c r="E328" s="23" t="s">
        <v>49</v>
      </c>
      <c r="F328" s="36" t="n">
        <f aca="false">'MEMORIAL DE CALCULO'!F567</f>
        <v>3.361</v>
      </c>
      <c r="G328" s="37"/>
      <c r="H328" s="27"/>
      <c r="I328" s="27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</row>
    <row r="329" customFormat="false" ht="14.9" hidden="false" customHeight="false" outlineLevel="0" collapsed="false">
      <c r="A329" s="23" t="s">
        <v>504</v>
      </c>
      <c r="B329" s="24" t="s">
        <v>57</v>
      </c>
      <c r="C329" s="23" t="n">
        <v>95875</v>
      </c>
      <c r="D329" s="41" t="s">
        <v>259</v>
      </c>
      <c r="E329" s="23" t="s">
        <v>260</v>
      </c>
      <c r="F329" s="36" t="n">
        <f aca="false">'MEMORIAL DE CALCULO'!F568</f>
        <v>33.61</v>
      </c>
      <c r="G329" s="37"/>
      <c r="H329" s="27"/>
      <c r="I329" s="27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</row>
    <row r="330" customFormat="false" ht="13.8" hidden="false" customHeight="false" outlineLevel="0" collapsed="false">
      <c r="A330" s="23" t="s">
        <v>505</v>
      </c>
      <c r="B330" s="45" t="s">
        <v>21</v>
      </c>
      <c r="C330" s="23" t="s">
        <v>506</v>
      </c>
      <c r="D330" s="25" t="s">
        <v>507</v>
      </c>
      <c r="E330" s="23" t="s">
        <v>24</v>
      </c>
      <c r="F330" s="26" t="n">
        <f aca="false">'MEMORIAL DE CALCULO'!F569</f>
        <v>33</v>
      </c>
      <c r="G330" s="27"/>
      <c r="H330" s="27"/>
      <c r="I330" s="27"/>
      <c r="K330" s="29"/>
      <c r="L330" s="29"/>
      <c r="M330" s="29"/>
      <c r="N330" s="29"/>
    </row>
    <row r="331" customFormat="false" ht="13.8" hidden="false" customHeight="false" outlineLevel="0" collapsed="false">
      <c r="A331" s="23" t="s">
        <v>508</v>
      </c>
      <c r="B331" s="45" t="s">
        <v>21</v>
      </c>
      <c r="C331" s="54" t="s">
        <v>509</v>
      </c>
      <c r="D331" s="25" t="s">
        <v>510</v>
      </c>
      <c r="E331" s="54" t="s">
        <v>39</v>
      </c>
      <c r="F331" s="26" t="n">
        <f aca="false">'MEMORIAL DE CALCULO'!F570</f>
        <v>1</v>
      </c>
      <c r="G331" s="27"/>
      <c r="H331" s="27"/>
      <c r="I331" s="27"/>
      <c r="K331" s="60"/>
      <c r="L331" s="60"/>
      <c r="M331" s="60"/>
      <c r="N331" s="60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</row>
    <row r="332" customFormat="false" ht="13.8" hidden="false" customHeight="false" outlineLevel="0" collapsed="false">
      <c r="A332" s="23" t="s">
        <v>511</v>
      </c>
      <c r="B332" s="45" t="s">
        <v>21</v>
      </c>
      <c r="C332" s="54" t="s">
        <v>512</v>
      </c>
      <c r="D332" s="25" t="s">
        <v>513</v>
      </c>
      <c r="E332" s="54" t="s">
        <v>514</v>
      </c>
      <c r="F332" s="26" t="n">
        <f aca="false">'MEMORIAL DE CALCULO'!F571</f>
        <v>33</v>
      </c>
      <c r="G332" s="27"/>
      <c r="H332" s="27"/>
      <c r="I332" s="27"/>
      <c r="K332" s="60"/>
      <c r="L332" s="60"/>
      <c r="M332" s="60"/>
      <c r="N332" s="60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</row>
    <row r="333" customFormat="false" ht="13.8" hidden="false" customHeight="false" outlineLevel="0" collapsed="false">
      <c r="A333" s="23" t="s">
        <v>515</v>
      </c>
      <c r="B333" s="45" t="s">
        <v>21</v>
      </c>
      <c r="C333" s="54" t="s">
        <v>516</v>
      </c>
      <c r="D333" s="25" t="s">
        <v>517</v>
      </c>
      <c r="E333" s="54" t="s">
        <v>24</v>
      </c>
      <c r="F333" s="26" t="n">
        <f aca="false">'MEMORIAL DE CALCULO'!F572</f>
        <v>18</v>
      </c>
      <c r="G333" s="27"/>
      <c r="H333" s="27"/>
      <c r="I333" s="27"/>
      <c r="K333" s="60"/>
      <c r="L333" s="60"/>
      <c r="M333" s="60"/>
      <c r="N333" s="60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</row>
    <row r="334" customFormat="false" ht="13.8" hidden="false" customHeight="false" outlineLevel="0" collapsed="false">
      <c r="A334" s="66" t="s">
        <v>97</v>
      </c>
      <c r="B334" s="66"/>
      <c r="C334" s="66"/>
      <c r="D334" s="66"/>
      <c r="E334" s="66"/>
      <c r="F334" s="66"/>
      <c r="G334" s="66"/>
      <c r="H334" s="66"/>
      <c r="I334" s="65"/>
      <c r="K334" s="29"/>
      <c r="L334" s="29"/>
      <c r="M334" s="29"/>
      <c r="N334" s="29"/>
    </row>
    <row r="335" customFormat="false" ht="13.8" hidden="false" customHeight="false" outlineLevel="0" collapsed="false">
      <c r="A335" s="23" t="s">
        <v>518</v>
      </c>
      <c r="B335" s="45" t="s">
        <v>21</v>
      </c>
      <c r="C335" s="23" t="s">
        <v>99</v>
      </c>
      <c r="D335" s="25" t="s">
        <v>100</v>
      </c>
      <c r="E335" s="23" t="s">
        <v>24</v>
      </c>
      <c r="F335" s="26" t="n">
        <f aca="false">'MEMORIAL DE CALCULO'!F574</f>
        <v>51</v>
      </c>
      <c r="G335" s="27"/>
      <c r="H335" s="27"/>
      <c r="I335" s="27"/>
      <c r="K335" s="29"/>
      <c r="L335" s="29"/>
      <c r="M335" s="29"/>
      <c r="N335" s="29"/>
    </row>
    <row r="336" customFormat="false" ht="13.8" hidden="false" customHeight="false" outlineLevel="0" collapsed="false">
      <c r="A336" s="23" t="s">
        <v>519</v>
      </c>
      <c r="B336" s="24" t="s">
        <v>57</v>
      </c>
      <c r="C336" s="23" t="n">
        <v>92800</v>
      </c>
      <c r="D336" s="25" t="s">
        <v>102</v>
      </c>
      <c r="E336" s="23" t="s">
        <v>103</v>
      </c>
      <c r="F336" s="26" t="n">
        <f aca="false">'MEMORIAL DE CALCULO'!F579</f>
        <v>54.4544</v>
      </c>
      <c r="G336" s="27"/>
      <c r="H336" s="27"/>
      <c r="I336" s="27"/>
      <c r="K336" s="29"/>
      <c r="L336" s="29"/>
      <c r="M336" s="29"/>
      <c r="N336" s="29"/>
    </row>
    <row r="337" customFormat="false" ht="13.8" hidden="false" customHeight="false" outlineLevel="0" collapsed="false">
      <c r="A337" s="23" t="s">
        <v>520</v>
      </c>
      <c r="B337" s="24" t="s">
        <v>57</v>
      </c>
      <c r="C337" s="23" t="n">
        <v>92803</v>
      </c>
      <c r="D337" s="25" t="s">
        <v>105</v>
      </c>
      <c r="E337" s="23" t="s">
        <v>103</v>
      </c>
      <c r="F337" s="26" t="n">
        <f aca="false">'MEMORIAL DE CALCULO'!F585</f>
        <v>125.868</v>
      </c>
      <c r="G337" s="27"/>
      <c r="H337" s="27"/>
      <c r="I337" s="27"/>
      <c r="K337" s="29"/>
      <c r="L337" s="29"/>
      <c r="M337" s="29"/>
      <c r="N337" s="2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</row>
    <row r="338" customFormat="false" ht="14.9" hidden="false" customHeight="false" outlineLevel="0" collapsed="false">
      <c r="A338" s="23" t="s">
        <v>521</v>
      </c>
      <c r="B338" s="24" t="s">
        <v>57</v>
      </c>
      <c r="C338" s="23" t="n">
        <v>96526</v>
      </c>
      <c r="D338" s="25" t="s">
        <v>107</v>
      </c>
      <c r="E338" s="23" t="s">
        <v>49</v>
      </c>
      <c r="F338" s="26" t="n">
        <f aca="false">'MEMORIAL DE CALCULO'!F589</f>
        <v>4.032</v>
      </c>
      <c r="G338" s="27"/>
      <c r="H338" s="27"/>
      <c r="I338" s="27"/>
      <c r="K338" s="29"/>
      <c r="L338" s="29"/>
      <c r="M338" s="29"/>
      <c r="N338" s="29"/>
    </row>
    <row r="339" customFormat="false" ht="14.9" hidden="false" customHeight="false" outlineLevel="0" collapsed="false">
      <c r="A339" s="23" t="s">
        <v>522</v>
      </c>
      <c r="B339" s="24" t="s">
        <v>57</v>
      </c>
      <c r="C339" s="23" t="n">
        <v>101619</v>
      </c>
      <c r="D339" s="25" t="s">
        <v>109</v>
      </c>
      <c r="E339" s="23" t="s">
        <v>49</v>
      </c>
      <c r="F339" s="26" t="n">
        <f aca="false">'MEMORIAL DE CALCULO'!F593</f>
        <v>1.008</v>
      </c>
      <c r="G339" s="27"/>
      <c r="H339" s="27"/>
      <c r="I339" s="27"/>
      <c r="K339" s="29"/>
      <c r="L339" s="29"/>
      <c r="M339" s="29"/>
      <c r="N339" s="29"/>
    </row>
    <row r="340" customFormat="false" ht="13.8" hidden="false" customHeight="false" outlineLevel="0" collapsed="false">
      <c r="A340" s="23" t="s">
        <v>523</v>
      </c>
      <c r="B340" s="24" t="s">
        <v>57</v>
      </c>
      <c r="C340" s="23" t="n">
        <v>92800</v>
      </c>
      <c r="D340" s="25" t="s">
        <v>102</v>
      </c>
      <c r="E340" s="23" t="s">
        <v>103</v>
      </c>
      <c r="F340" s="26" t="n">
        <f aca="false">'MEMORIAL DE CALCULO'!F595</f>
        <v>49.67424</v>
      </c>
      <c r="G340" s="27"/>
      <c r="H340" s="27"/>
      <c r="I340" s="27"/>
      <c r="K340" s="29"/>
      <c r="L340" s="29"/>
      <c r="M340" s="29"/>
      <c r="N340" s="29"/>
    </row>
    <row r="341" customFormat="false" ht="13.8" hidden="false" customHeight="false" outlineLevel="0" collapsed="false">
      <c r="A341" s="23" t="s">
        <v>524</v>
      </c>
      <c r="B341" s="24" t="s">
        <v>57</v>
      </c>
      <c r="C341" s="23" t="n">
        <v>92803</v>
      </c>
      <c r="D341" s="25" t="s">
        <v>105</v>
      </c>
      <c r="E341" s="23" t="s">
        <v>103</v>
      </c>
      <c r="F341" s="26" t="n">
        <f aca="false">'MEMORIAL DE CALCULO'!F600</f>
        <v>82.9248</v>
      </c>
      <c r="G341" s="27"/>
      <c r="H341" s="27"/>
      <c r="I341" s="27"/>
      <c r="K341" s="29"/>
      <c r="L341" s="29"/>
      <c r="M341" s="29"/>
      <c r="N341" s="2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</row>
    <row r="342" customFormat="false" ht="14.9" hidden="false" customHeight="false" outlineLevel="0" collapsed="false">
      <c r="A342" s="23" t="s">
        <v>525</v>
      </c>
      <c r="B342" s="47" t="s">
        <v>57</v>
      </c>
      <c r="C342" s="48" t="n">
        <v>96557</v>
      </c>
      <c r="D342" s="49" t="s">
        <v>113</v>
      </c>
      <c r="E342" s="48" t="s">
        <v>49</v>
      </c>
      <c r="F342" s="50" t="n">
        <f aca="false">'MEMORIAL DE CALCULO'!F604</f>
        <v>4.032</v>
      </c>
      <c r="G342" s="51"/>
      <c r="H342" s="27"/>
      <c r="I342" s="51"/>
      <c r="K342" s="52"/>
      <c r="L342" s="52"/>
      <c r="M342" s="52"/>
      <c r="N342" s="52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</row>
    <row r="343" customFormat="false" ht="14.9" hidden="false" customHeight="false" outlineLevel="0" collapsed="false">
      <c r="A343" s="23" t="s">
        <v>526</v>
      </c>
      <c r="B343" s="24" t="s">
        <v>57</v>
      </c>
      <c r="C343" s="23" t="n">
        <v>101165</v>
      </c>
      <c r="D343" s="25" t="s">
        <v>115</v>
      </c>
      <c r="E343" s="23" t="s">
        <v>49</v>
      </c>
      <c r="F343" s="26" t="n">
        <f aca="false">'MEMORIAL DE CALCULO'!F605</f>
        <v>1.2768</v>
      </c>
      <c r="G343" s="27"/>
      <c r="H343" s="27"/>
      <c r="I343" s="27"/>
      <c r="K343" s="29"/>
      <c r="L343" s="29"/>
      <c r="M343" s="29"/>
      <c r="N343" s="29"/>
    </row>
    <row r="344" customFormat="false" ht="13.8" hidden="false" customHeight="false" outlineLevel="0" collapsed="false">
      <c r="A344" s="66" t="s">
        <v>116</v>
      </c>
      <c r="B344" s="66"/>
      <c r="C344" s="66"/>
      <c r="D344" s="66"/>
      <c r="E344" s="66"/>
      <c r="F344" s="66"/>
      <c r="G344" s="66"/>
      <c r="H344" s="66"/>
      <c r="I344" s="65"/>
      <c r="K344" s="29"/>
      <c r="L344" s="29"/>
      <c r="M344" s="29"/>
      <c r="N344" s="29"/>
    </row>
    <row r="345" customFormat="false" ht="21.6" hidden="false" customHeight="false" outlineLevel="0" collapsed="false">
      <c r="A345" s="23" t="s">
        <v>527</v>
      </c>
      <c r="B345" s="24" t="s">
        <v>57</v>
      </c>
      <c r="C345" s="23" t="n">
        <v>92415</v>
      </c>
      <c r="D345" s="25" t="s">
        <v>118</v>
      </c>
      <c r="E345" s="23" t="s">
        <v>19</v>
      </c>
      <c r="F345" s="26" t="n">
        <f aca="false">'MEMORIAL DE CALCULO'!F609</f>
        <v>14.25</v>
      </c>
      <c r="G345" s="27"/>
      <c r="H345" s="27"/>
      <c r="I345" s="27"/>
      <c r="K345" s="29"/>
      <c r="L345" s="29"/>
      <c r="M345" s="29"/>
      <c r="N345" s="2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</row>
    <row r="346" customFormat="false" ht="13.8" hidden="false" customHeight="false" outlineLevel="0" collapsed="false">
      <c r="A346" s="23" t="s">
        <v>528</v>
      </c>
      <c r="B346" s="24" t="s">
        <v>57</v>
      </c>
      <c r="C346" s="23" t="n">
        <v>92800</v>
      </c>
      <c r="D346" s="25" t="s">
        <v>102</v>
      </c>
      <c r="E346" s="23" t="s">
        <v>103</v>
      </c>
      <c r="F346" s="26" t="n">
        <f aca="false">'MEMORIAL DE CALCULO'!F615</f>
        <v>30.4304</v>
      </c>
      <c r="G346" s="27"/>
      <c r="H346" s="27"/>
      <c r="I346" s="27"/>
      <c r="K346" s="29"/>
      <c r="L346" s="29"/>
      <c r="M346" s="29"/>
      <c r="N346" s="29"/>
    </row>
    <row r="347" customFormat="false" ht="13.8" hidden="false" customHeight="false" outlineLevel="0" collapsed="false">
      <c r="A347" s="23" t="s">
        <v>529</v>
      </c>
      <c r="B347" s="24" t="s">
        <v>57</v>
      </c>
      <c r="C347" s="23" t="n">
        <v>92803</v>
      </c>
      <c r="D347" s="25" t="s">
        <v>105</v>
      </c>
      <c r="E347" s="23" t="s">
        <v>103</v>
      </c>
      <c r="F347" s="26" t="n">
        <f aca="false">'MEMORIAL DE CALCULO'!F620</f>
        <v>70.338</v>
      </c>
      <c r="G347" s="27"/>
      <c r="H347" s="27"/>
      <c r="I347" s="27"/>
      <c r="K347" s="29"/>
      <c r="L347" s="29"/>
      <c r="M347" s="29"/>
      <c r="N347" s="2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</row>
    <row r="348" customFormat="false" ht="14.9" hidden="false" customHeight="false" outlineLevel="0" collapsed="false">
      <c r="A348" s="23" t="s">
        <v>530</v>
      </c>
      <c r="B348" s="24" t="s">
        <v>57</v>
      </c>
      <c r="C348" s="23" t="n">
        <v>103672</v>
      </c>
      <c r="D348" s="25" t="s">
        <v>122</v>
      </c>
      <c r="E348" s="23" t="s">
        <v>49</v>
      </c>
      <c r="F348" s="26" t="n">
        <f aca="false">'MEMORIAL DE CALCULO'!F624</f>
        <v>1.5</v>
      </c>
      <c r="G348" s="27"/>
      <c r="H348" s="27"/>
      <c r="I348" s="27"/>
      <c r="K348" s="29"/>
      <c r="L348" s="29"/>
      <c r="M348" s="29"/>
      <c r="N348" s="29"/>
    </row>
    <row r="349" customFormat="false" ht="21.6" hidden="false" customHeight="false" outlineLevel="0" collapsed="false">
      <c r="A349" s="23" t="s">
        <v>531</v>
      </c>
      <c r="B349" s="24" t="s">
        <v>57</v>
      </c>
      <c r="C349" s="23" t="n">
        <v>103324</v>
      </c>
      <c r="D349" s="25" t="s">
        <v>124</v>
      </c>
      <c r="E349" s="23" t="s">
        <v>19</v>
      </c>
      <c r="F349" s="26" t="n">
        <f aca="false">'MEMORIAL DE CALCULO'!F626</f>
        <v>44.875</v>
      </c>
      <c r="G349" s="27"/>
      <c r="H349" s="27"/>
      <c r="I349" s="27"/>
      <c r="K349" s="29"/>
      <c r="L349" s="29"/>
      <c r="M349" s="29"/>
      <c r="N349" s="29"/>
    </row>
    <row r="350" customFormat="false" ht="13.8" hidden="false" customHeight="false" outlineLevel="0" collapsed="false">
      <c r="A350" s="23" t="s">
        <v>532</v>
      </c>
      <c r="B350" s="45" t="s">
        <v>21</v>
      </c>
      <c r="C350" s="54" t="s">
        <v>323</v>
      </c>
      <c r="D350" s="25" t="s">
        <v>324</v>
      </c>
      <c r="E350" s="23" t="s">
        <v>24</v>
      </c>
      <c r="F350" s="26" t="n">
        <f aca="false">'MEMORIAL DE CALCULO'!F632</f>
        <v>12.8</v>
      </c>
      <c r="G350" s="27"/>
      <c r="H350" s="27"/>
      <c r="I350" s="27"/>
      <c r="K350" s="29"/>
      <c r="L350" s="29"/>
      <c r="M350" s="29"/>
      <c r="N350" s="29"/>
    </row>
    <row r="351" customFormat="false" ht="21.6" hidden="false" customHeight="false" outlineLevel="0" collapsed="false">
      <c r="A351" s="23" t="s">
        <v>533</v>
      </c>
      <c r="B351" s="24" t="s">
        <v>57</v>
      </c>
      <c r="C351" s="23" t="n">
        <v>92451</v>
      </c>
      <c r="D351" s="25" t="s">
        <v>129</v>
      </c>
      <c r="E351" s="23" t="s">
        <v>19</v>
      </c>
      <c r="F351" s="26" t="n">
        <f aca="false">'MEMORIAL DE CALCULO'!F632</f>
        <v>12.8</v>
      </c>
      <c r="G351" s="27"/>
      <c r="H351" s="27"/>
      <c r="I351" s="27"/>
      <c r="K351" s="29"/>
      <c r="L351" s="29"/>
      <c r="M351" s="29"/>
      <c r="N351" s="29"/>
    </row>
    <row r="352" customFormat="false" ht="13.8" hidden="false" customHeight="false" outlineLevel="0" collapsed="false">
      <c r="A352" s="23" t="s">
        <v>534</v>
      </c>
      <c r="B352" s="24" t="s">
        <v>57</v>
      </c>
      <c r="C352" s="23" t="n">
        <v>92800</v>
      </c>
      <c r="D352" s="25" t="s">
        <v>102</v>
      </c>
      <c r="E352" s="23" t="s">
        <v>103</v>
      </c>
      <c r="F352" s="26" t="n">
        <f aca="false">'MEMORIAL DE CALCULO'!F636</f>
        <v>262.826666666667</v>
      </c>
      <c r="G352" s="27"/>
      <c r="H352" s="27"/>
      <c r="I352" s="27"/>
      <c r="K352" s="29"/>
      <c r="L352" s="29"/>
      <c r="M352" s="29"/>
      <c r="N352" s="29"/>
    </row>
    <row r="353" customFormat="false" ht="13.8" hidden="false" customHeight="false" outlineLevel="0" collapsed="false">
      <c r="A353" s="23" t="s">
        <v>535</v>
      </c>
      <c r="B353" s="24" t="s">
        <v>57</v>
      </c>
      <c r="C353" s="23" t="n">
        <v>92803</v>
      </c>
      <c r="D353" s="25" t="s">
        <v>105</v>
      </c>
      <c r="E353" s="23" t="s">
        <v>103</v>
      </c>
      <c r="F353" s="26" t="n">
        <f aca="false">'MEMORIAL DE CALCULO'!F643</f>
        <v>39.488</v>
      </c>
      <c r="G353" s="27"/>
      <c r="H353" s="27"/>
      <c r="I353" s="27"/>
      <c r="K353" s="29"/>
      <c r="L353" s="29"/>
      <c r="M353" s="29"/>
      <c r="N353" s="2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</row>
    <row r="354" customFormat="false" ht="13.8" hidden="false" customHeight="false" outlineLevel="0" collapsed="false">
      <c r="A354" s="23" t="s">
        <v>536</v>
      </c>
      <c r="B354" s="24" t="s">
        <v>57</v>
      </c>
      <c r="C354" s="23" t="n">
        <v>92804</v>
      </c>
      <c r="D354" s="25" t="s">
        <v>133</v>
      </c>
      <c r="E354" s="23" t="s">
        <v>103</v>
      </c>
      <c r="F354" s="26" t="n">
        <f aca="false">'MEMORIAL DE CALCULO'!F647</f>
        <v>30.816</v>
      </c>
      <c r="G354" s="27"/>
      <c r="H354" s="27"/>
      <c r="I354" s="27"/>
      <c r="K354" s="29"/>
      <c r="L354" s="29"/>
      <c r="M354" s="29"/>
      <c r="N354" s="2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</row>
    <row r="355" customFormat="false" ht="14.9" hidden="false" customHeight="false" outlineLevel="0" collapsed="false">
      <c r="A355" s="23" t="s">
        <v>537</v>
      </c>
      <c r="B355" s="24" t="s">
        <v>57</v>
      </c>
      <c r="C355" s="23" t="n">
        <v>103675</v>
      </c>
      <c r="D355" s="25" t="s">
        <v>135</v>
      </c>
      <c r="E355" s="23" t="s">
        <v>49</v>
      </c>
      <c r="F355" s="26" t="n">
        <f aca="false">'MEMORIAL DE CALCULO'!F651</f>
        <v>1.6</v>
      </c>
      <c r="G355" s="27"/>
      <c r="H355" s="27"/>
      <c r="I355" s="27"/>
      <c r="K355" s="29"/>
      <c r="L355" s="29"/>
      <c r="M355" s="29"/>
      <c r="N355" s="29"/>
    </row>
    <row r="356" customFormat="false" ht="14.9" hidden="false" customHeight="false" outlineLevel="0" collapsed="false">
      <c r="A356" s="23" t="s">
        <v>538</v>
      </c>
      <c r="B356" s="55" t="s">
        <v>26</v>
      </c>
      <c r="C356" s="48" t="s">
        <v>137</v>
      </c>
      <c r="D356" s="49" t="s">
        <v>138</v>
      </c>
      <c r="E356" s="48" t="s">
        <v>19</v>
      </c>
      <c r="F356" s="50" t="n">
        <f aca="false">'MEMORIAL DE CALCULO'!F475</f>
        <v>12</v>
      </c>
      <c r="G356" s="51"/>
      <c r="H356" s="27"/>
      <c r="I356" s="51"/>
      <c r="K356" s="52"/>
      <c r="L356" s="52"/>
      <c r="M356" s="52"/>
      <c r="N356" s="52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</row>
    <row r="357" customFormat="false" ht="14.9" hidden="false" customHeight="false" outlineLevel="0" collapsed="false">
      <c r="A357" s="23" t="s">
        <v>539</v>
      </c>
      <c r="B357" s="24" t="s">
        <v>57</v>
      </c>
      <c r="C357" s="23" t="n">
        <v>87879</v>
      </c>
      <c r="D357" s="25" t="s">
        <v>157</v>
      </c>
      <c r="E357" s="23" t="s">
        <v>19</v>
      </c>
      <c r="F357" s="36" t="n">
        <f aca="false">'MEMORIAL DE CALCULO'!F656</f>
        <v>113.70546875</v>
      </c>
      <c r="G357" s="27"/>
      <c r="H357" s="27"/>
      <c r="I357" s="37"/>
    </row>
    <row r="358" customFormat="false" ht="13.8" hidden="false" customHeight="false" outlineLevel="0" collapsed="false">
      <c r="A358" s="23" t="s">
        <v>540</v>
      </c>
      <c r="B358" s="55" t="s">
        <v>26</v>
      </c>
      <c r="C358" s="23" t="s">
        <v>159</v>
      </c>
      <c r="D358" s="25" t="s">
        <v>160</v>
      </c>
      <c r="E358" s="23" t="s">
        <v>19</v>
      </c>
      <c r="F358" s="36" t="n">
        <f aca="false">'MEMORIAL DE CALCULO'!F657</f>
        <v>113.70546875</v>
      </c>
      <c r="G358" s="27"/>
      <c r="H358" s="27"/>
      <c r="I358" s="37"/>
    </row>
    <row r="359" customFormat="false" ht="13.8" hidden="false" customHeight="false" outlineLevel="0" collapsed="false">
      <c r="A359" s="23" t="s">
        <v>541</v>
      </c>
      <c r="B359" s="55" t="s">
        <v>26</v>
      </c>
      <c r="C359" s="23" t="s">
        <v>162</v>
      </c>
      <c r="D359" s="25" t="s">
        <v>163</v>
      </c>
      <c r="E359" s="23" t="s">
        <v>19</v>
      </c>
      <c r="F359" s="36" t="n">
        <f aca="false">'MEMORIAL DE CALCULO'!F658</f>
        <v>113.70546875</v>
      </c>
      <c r="G359" s="27"/>
      <c r="H359" s="27"/>
      <c r="I359" s="37"/>
    </row>
    <row r="360" customFormat="false" ht="14.9" hidden="false" customHeight="false" outlineLevel="0" collapsed="false">
      <c r="A360" s="23" t="s">
        <v>542</v>
      </c>
      <c r="B360" s="24" t="s">
        <v>57</v>
      </c>
      <c r="C360" s="23" t="n">
        <v>88411</v>
      </c>
      <c r="D360" s="25" t="s">
        <v>168</v>
      </c>
      <c r="E360" s="23" t="s">
        <v>19</v>
      </c>
      <c r="F360" s="36" t="n">
        <f aca="false">F361</f>
        <v>113.70546875</v>
      </c>
      <c r="G360" s="37"/>
      <c r="H360" s="27"/>
      <c r="I360" s="27"/>
    </row>
    <row r="361" customFormat="false" ht="14.9" hidden="false" customHeight="false" outlineLevel="0" collapsed="false">
      <c r="A361" s="23" t="s">
        <v>543</v>
      </c>
      <c r="B361" s="24" t="s">
        <v>57</v>
      </c>
      <c r="C361" s="23" t="n">
        <v>88489</v>
      </c>
      <c r="D361" s="25" t="s">
        <v>172</v>
      </c>
      <c r="E361" s="23" t="s">
        <v>19</v>
      </c>
      <c r="F361" s="36" t="n">
        <f aca="false">'MEMORIAL DE CALCULO'!F660</f>
        <v>113.70546875</v>
      </c>
      <c r="G361" s="27"/>
      <c r="H361" s="27"/>
      <c r="I361" s="37"/>
    </row>
    <row r="362" customFormat="false" ht="13.8" hidden="false" customHeight="false" outlineLevel="0" collapsed="false">
      <c r="A362" s="66" t="s">
        <v>544</v>
      </c>
      <c r="B362" s="66"/>
      <c r="C362" s="66"/>
      <c r="D362" s="66"/>
      <c r="E362" s="66"/>
      <c r="F362" s="66"/>
      <c r="G362" s="66"/>
      <c r="H362" s="66"/>
      <c r="I362" s="65"/>
      <c r="K362" s="29"/>
      <c r="L362" s="29"/>
      <c r="M362" s="29"/>
      <c r="N362" s="29"/>
    </row>
    <row r="363" customFormat="false" ht="14.9" hidden="false" customHeight="false" outlineLevel="0" collapsed="false">
      <c r="A363" s="23" t="s">
        <v>545</v>
      </c>
      <c r="B363" s="24" t="s">
        <v>57</v>
      </c>
      <c r="C363" s="23" t="n">
        <v>88411</v>
      </c>
      <c r="D363" s="25" t="s">
        <v>168</v>
      </c>
      <c r="E363" s="23" t="s">
        <v>19</v>
      </c>
      <c r="F363" s="36" t="n">
        <f aca="false">'MEMORIAL DE CALCULO'!F662</f>
        <v>504</v>
      </c>
      <c r="G363" s="37"/>
      <c r="H363" s="27"/>
      <c r="I363" s="27"/>
    </row>
    <row r="364" customFormat="false" ht="14.9" hidden="false" customHeight="false" outlineLevel="0" collapsed="false">
      <c r="A364" s="23" t="s">
        <v>546</v>
      </c>
      <c r="B364" s="24" t="s">
        <v>57</v>
      </c>
      <c r="C364" s="23" t="n">
        <v>88489</v>
      </c>
      <c r="D364" s="25" t="s">
        <v>172</v>
      </c>
      <c r="E364" s="23" t="s">
        <v>19</v>
      </c>
      <c r="F364" s="36" t="n">
        <f aca="false">F363</f>
        <v>504</v>
      </c>
      <c r="G364" s="27"/>
      <c r="H364" s="27"/>
      <c r="I364" s="37"/>
    </row>
    <row r="365" customFormat="false" ht="13.8" hidden="false" customHeight="false" outlineLevel="0" collapsed="false">
      <c r="A365" s="32"/>
      <c r="B365" s="32"/>
      <c r="C365" s="32"/>
      <c r="D365" s="32"/>
      <c r="E365" s="32"/>
      <c r="F365" s="32"/>
      <c r="G365" s="33" t="s">
        <v>547</v>
      </c>
      <c r="H365" s="33"/>
      <c r="I365" s="34"/>
      <c r="K365" s="29"/>
      <c r="L365" s="29"/>
      <c r="M365" s="29"/>
      <c r="N365" s="29"/>
    </row>
    <row r="366" customFormat="false" ht="13.8" hidden="false" customHeight="false" outlineLevel="0" collapsed="false">
      <c r="A366" s="35"/>
      <c r="B366" s="35"/>
      <c r="C366" s="35"/>
      <c r="D366" s="35"/>
      <c r="E366" s="35"/>
      <c r="F366" s="35"/>
      <c r="G366" s="35"/>
      <c r="H366" s="35"/>
      <c r="I366" s="35"/>
      <c r="K366" s="29"/>
      <c r="L366" s="29"/>
      <c r="M366" s="29"/>
      <c r="N366" s="29"/>
    </row>
    <row r="367" customFormat="false" ht="13.8" hidden="false" customHeight="false" outlineLevel="0" collapsed="false">
      <c r="A367" s="72" t="s">
        <v>548</v>
      </c>
      <c r="B367" s="21" t="s">
        <v>549</v>
      </c>
      <c r="C367" s="21"/>
      <c r="D367" s="21"/>
      <c r="E367" s="21"/>
      <c r="F367" s="21"/>
      <c r="G367" s="21"/>
      <c r="H367" s="21"/>
      <c r="I367" s="22"/>
    </row>
    <row r="368" customFormat="false" ht="13.8" hidden="false" customHeight="false" outlineLevel="0" collapsed="false">
      <c r="A368" s="23" t="s">
        <v>550</v>
      </c>
      <c r="B368" s="45" t="s">
        <v>21</v>
      </c>
      <c r="C368" s="23" t="s">
        <v>551</v>
      </c>
      <c r="D368" s="41" t="s">
        <v>552</v>
      </c>
      <c r="E368" s="23" t="s">
        <v>19</v>
      </c>
      <c r="F368" s="36" t="n">
        <f aca="false">SUM(2*2.65)*2</f>
        <v>10.6</v>
      </c>
      <c r="G368" s="37"/>
      <c r="H368" s="37"/>
      <c r="I368" s="37"/>
    </row>
    <row r="369" customFormat="false" ht="13.8" hidden="false" customHeight="false" outlineLevel="0" collapsed="false">
      <c r="A369" s="32"/>
      <c r="B369" s="32"/>
      <c r="C369" s="32"/>
      <c r="D369" s="32"/>
      <c r="E369" s="32"/>
      <c r="F369" s="32"/>
      <c r="G369" s="33" t="s">
        <v>553</v>
      </c>
      <c r="H369" s="33"/>
      <c r="I369" s="34"/>
      <c r="K369" s="29"/>
      <c r="L369" s="29"/>
      <c r="M369" s="29"/>
      <c r="N369" s="29"/>
    </row>
    <row r="370" customFormat="false" ht="13.8" hidden="false" customHeight="false" outlineLevel="0" collapsed="false">
      <c r="A370" s="35"/>
      <c r="B370" s="35"/>
      <c r="C370" s="35"/>
      <c r="D370" s="35"/>
      <c r="E370" s="35"/>
      <c r="F370" s="35"/>
      <c r="G370" s="35"/>
      <c r="H370" s="35"/>
      <c r="I370" s="35"/>
      <c r="K370" s="29"/>
      <c r="L370" s="29"/>
      <c r="M370" s="29"/>
      <c r="N370" s="29"/>
    </row>
    <row r="371" customFormat="false" ht="13.8" hidden="false" customHeight="false" outlineLevel="0" collapsed="false">
      <c r="A371" s="20" t="n">
        <v>18</v>
      </c>
      <c r="B371" s="21" t="s">
        <v>554</v>
      </c>
      <c r="C371" s="21"/>
      <c r="D371" s="21"/>
      <c r="E371" s="21"/>
      <c r="F371" s="21"/>
      <c r="G371" s="21"/>
      <c r="H371" s="21"/>
      <c r="I371" s="22"/>
    </row>
    <row r="372" customFormat="false" ht="13.8" hidden="false" customHeight="false" outlineLevel="0" collapsed="false">
      <c r="A372" s="23" t="s">
        <v>555</v>
      </c>
      <c r="B372" s="45" t="s">
        <v>21</v>
      </c>
      <c r="C372" s="23" t="s">
        <v>479</v>
      </c>
      <c r="D372" s="41" t="s">
        <v>480</v>
      </c>
      <c r="E372" s="23" t="s">
        <v>19</v>
      </c>
      <c r="F372" s="36" t="n">
        <f aca="false">'MEMORIAL DE CALCULO'!F671</f>
        <v>82.6</v>
      </c>
      <c r="G372" s="37"/>
      <c r="H372" s="37"/>
      <c r="I372" s="37"/>
    </row>
    <row r="373" customFormat="false" ht="13.8" hidden="false" customHeight="false" outlineLevel="0" collapsed="false">
      <c r="A373" s="23" t="s">
        <v>556</v>
      </c>
      <c r="B373" s="55" t="s">
        <v>26</v>
      </c>
      <c r="C373" s="23" t="s">
        <v>162</v>
      </c>
      <c r="D373" s="25" t="s">
        <v>163</v>
      </c>
      <c r="E373" s="23" t="s">
        <v>19</v>
      </c>
      <c r="F373" s="36" t="n">
        <f aca="false">F372</f>
        <v>82.6</v>
      </c>
      <c r="G373" s="27"/>
      <c r="H373" s="37"/>
      <c r="I373" s="37"/>
    </row>
    <row r="374" customFormat="false" ht="14.9" hidden="false" customHeight="false" outlineLevel="0" collapsed="false">
      <c r="A374" s="23" t="s">
        <v>557</v>
      </c>
      <c r="B374" s="24" t="s">
        <v>57</v>
      </c>
      <c r="C374" s="23" t="n">
        <v>88489</v>
      </c>
      <c r="D374" s="25" t="s">
        <v>172</v>
      </c>
      <c r="E374" s="23" t="s">
        <v>19</v>
      </c>
      <c r="F374" s="36" t="n">
        <f aca="false">F373</f>
        <v>82.6</v>
      </c>
      <c r="G374" s="27"/>
      <c r="H374" s="37"/>
      <c r="I374" s="37"/>
    </row>
    <row r="375" customFormat="false" ht="13.8" hidden="false" customHeight="false" outlineLevel="0" collapsed="false">
      <c r="A375" s="32"/>
      <c r="B375" s="32"/>
      <c r="C375" s="32"/>
      <c r="D375" s="32"/>
      <c r="E375" s="32"/>
      <c r="F375" s="32"/>
      <c r="G375" s="33" t="s">
        <v>558</v>
      </c>
      <c r="H375" s="33"/>
      <c r="I375" s="34"/>
      <c r="K375" s="29"/>
      <c r="L375" s="29"/>
      <c r="M375" s="29"/>
      <c r="N375" s="29"/>
    </row>
    <row r="376" customFormat="false" ht="13.8" hidden="false" customHeight="false" outlineLevel="0" collapsed="false">
      <c r="A376" s="35"/>
      <c r="B376" s="35"/>
      <c r="C376" s="35"/>
      <c r="D376" s="35"/>
      <c r="E376" s="35"/>
      <c r="F376" s="35"/>
      <c r="G376" s="35"/>
      <c r="H376" s="35"/>
      <c r="I376" s="35"/>
      <c r="K376" s="29"/>
      <c r="L376" s="29"/>
      <c r="M376" s="29"/>
      <c r="N376" s="29"/>
    </row>
    <row r="377" customFormat="false" ht="13.8" hidden="false" customHeight="false" outlineLevel="0" collapsed="false">
      <c r="A377" s="20" t="s">
        <v>559</v>
      </c>
      <c r="B377" s="21" t="s">
        <v>560</v>
      </c>
      <c r="C377" s="21"/>
      <c r="D377" s="21"/>
      <c r="E377" s="21"/>
      <c r="F377" s="21"/>
      <c r="G377" s="21"/>
      <c r="H377" s="21"/>
      <c r="I377" s="22"/>
    </row>
    <row r="378" customFormat="false" ht="13.8" hidden="false" customHeight="false" outlineLevel="0" collapsed="false">
      <c r="A378" s="23" t="s">
        <v>561</v>
      </c>
      <c r="B378" s="30" t="s">
        <v>21</v>
      </c>
      <c r="C378" s="23" t="s">
        <v>281</v>
      </c>
      <c r="D378" s="41" t="s">
        <v>282</v>
      </c>
      <c r="E378" s="23" t="s">
        <v>19</v>
      </c>
      <c r="F378" s="36" t="n">
        <v>563</v>
      </c>
      <c r="G378" s="37"/>
      <c r="H378" s="37"/>
      <c r="I378" s="37"/>
    </row>
    <row r="379" customFormat="false" ht="13.8" hidden="false" customHeight="false" outlineLevel="0" collapsed="false">
      <c r="A379" s="32"/>
      <c r="B379" s="32"/>
      <c r="C379" s="32"/>
      <c r="D379" s="32"/>
      <c r="E379" s="32"/>
      <c r="F379" s="32"/>
      <c r="G379" s="33" t="s">
        <v>562</v>
      </c>
      <c r="H379" s="33"/>
      <c r="I379" s="34"/>
      <c r="K379" s="29"/>
      <c r="L379" s="29"/>
      <c r="M379" s="29"/>
      <c r="N379" s="29"/>
    </row>
    <row r="380" customFormat="false" ht="13.8" hidden="false" customHeight="false" outlineLevel="0" collapsed="false">
      <c r="A380" s="35"/>
      <c r="B380" s="35"/>
      <c r="C380" s="35"/>
      <c r="D380" s="35"/>
      <c r="E380" s="35"/>
      <c r="F380" s="35"/>
      <c r="G380" s="35"/>
      <c r="H380" s="35"/>
      <c r="I380" s="35"/>
      <c r="K380" s="29"/>
      <c r="L380" s="29"/>
      <c r="M380" s="29"/>
      <c r="N380" s="29"/>
    </row>
    <row r="381" customFormat="false" ht="13.8" hidden="false" customHeight="false" outlineLevel="0" collapsed="false">
      <c r="A381" s="20" t="s">
        <v>563</v>
      </c>
      <c r="B381" s="21" t="s">
        <v>564</v>
      </c>
      <c r="C381" s="21"/>
      <c r="D381" s="21"/>
      <c r="E381" s="21"/>
      <c r="F381" s="21"/>
      <c r="G381" s="21"/>
      <c r="H381" s="21"/>
      <c r="I381" s="22"/>
    </row>
    <row r="382" customFormat="false" ht="13.8" hidden="false" customHeight="false" outlineLevel="0" collapsed="false">
      <c r="A382" s="73" t="s">
        <v>565</v>
      </c>
      <c r="B382" s="73"/>
      <c r="C382" s="73"/>
      <c r="D382" s="73"/>
      <c r="E382" s="73"/>
      <c r="F382" s="73"/>
      <c r="G382" s="73"/>
      <c r="H382" s="73"/>
      <c r="I382" s="74"/>
      <c r="K382" s="29"/>
      <c r="L382" s="29"/>
      <c r="M382" s="29"/>
      <c r="N382" s="29"/>
    </row>
    <row r="383" customFormat="false" ht="13.8" hidden="false" customHeight="false" outlineLevel="0" collapsed="false">
      <c r="A383" s="23" t="s">
        <v>566</v>
      </c>
      <c r="B383" s="55" t="s">
        <v>26</v>
      </c>
      <c r="C383" s="23" t="s">
        <v>567</v>
      </c>
      <c r="D383" s="41" t="s">
        <v>568</v>
      </c>
      <c r="E383" s="23" t="s">
        <v>24</v>
      </c>
      <c r="F383" s="36" t="n">
        <v>5</v>
      </c>
      <c r="G383" s="37"/>
      <c r="H383" s="37"/>
      <c r="I383" s="37"/>
    </row>
    <row r="384" customFormat="false" ht="13.8" hidden="false" customHeight="false" outlineLevel="0" collapsed="false">
      <c r="A384" s="73" t="s">
        <v>173</v>
      </c>
      <c r="B384" s="73"/>
      <c r="C384" s="73"/>
      <c r="D384" s="73"/>
      <c r="E384" s="73"/>
      <c r="F384" s="73"/>
      <c r="G384" s="73"/>
      <c r="H384" s="73"/>
      <c r="I384" s="74"/>
      <c r="K384" s="29"/>
      <c r="L384" s="29"/>
      <c r="M384" s="29"/>
      <c r="N384" s="29"/>
    </row>
    <row r="385" customFormat="false" ht="14.9" hidden="false" customHeight="false" outlineLevel="0" collapsed="false">
      <c r="A385" s="23" t="s">
        <v>569</v>
      </c>
      <c r="B385" s="24" t="s">
        <v>57</v>
      </c>
      <c r="C385" s="23" t="n">
        <v>97633</v>
      </c>
      <c r="D385" s="41" t="s">
        <v>570</v>
      </c>
      <c r="E385" s="23" t="s">
        <v>19</v>
      </c>
      <c r="F385" s="36" t="n">
        <f aca="false">4.9+4.9+9.2+7.5+27+8+45</f>
        <v>106.5</v>
      </c>
      <c r="G385" s="37"/>
      <c r="H385" s="37"/>
      <c r="I385" s="37"/>
    </row>
    <row r="386" customFormat="false" ht="13.8" hidden="false" customHeight="false" outlineLevel="0" collapsed="false">
      <c r="A386" s="23" t="s">
        <v>571</v>
      </c>
      <c r="B386" s="55" t="s">
        <v>26</v>
      </c>
      <c r="C386" s="23" t="s">
        <v>572</v>
      </c>
      <c r="D386" s="25" t="s">
        <v>573</v>
      </c>
      <c r="E386" s="23" t="s">
        <v>49</v>
      </c>
      <c r="F386" s="26" t="n">
        <f aca="false">205*0.15</f>
        <v>30.75</v>
      </c>
      <c r="G386" s="27"/>
      <c r="H386" s="37"/>
      <c r="I386" s="27"/>
    </row>
    <row r="387" customFormat="false" ht="13.8" hidden="false" customHeight="false" outlineLevel="0" collapsed="false">
      <c r="A387" s="23" t="s">
        <v>574</v>
      </c>
      <c r="B387" s="30" t="s">
        <v>21</v>
      </c>
      <c r="C387" s="23" t="s">
        <v>254</v>
      </c>
      <c r="D387" s="25" t="s">
        <v>255</v>
      </c>
      <c r="E387" s="23" t="s">
        <v>575</v>
      </c>
      <c r="F387" s="26" t="n">
        <f aca="false">SUM(F385*0.03)+F386</f>
        <v>33.945</v>
      </c>
      <c r="G387" s="40"/>
      <c r="H387" s="37"/>
      <c r="I387" s="40"/>
    </row>
    <row r="388" customFormat="false" ht="13.8" hidden="false" customHeight="false" outlineLevel="0" collapsed="false">
      <c r="A388" s="23" t="s">
        <v>576</v>
      </c>
      <c r="B388" s="30" t="s">
        <v>21</v>
      </c>
      <c r="C388" s="23" t="s">
        <v>577</v>
      </c>
      <c r="D388" s="25" t="s">
        <v>578</v>
      </c>
      <c r="E388" s="23" t="s">
        <v>84</v>
      </c>
      <c r="F388" s="26" t="n">
        <f aca="false">F387*30</f>
        <v>1018.35</v>
      </c>
      <c r="G388" s="40"/>
      <c r="H388" s="37"/>
      <c r="I388" s="40"/>
    </row>
    <row r="389" customFormat="false" ht="14.9" hidden="false" customHeight="false" outlineLevel="0" collapsed="false">
      <c r="A389" s="23" t="s">
        <v>579</v>
      </c>
      <c r="B389" s="24" t="s">
        <v>57</v>
      </c>
      <c r="C389" s="23" t="n">
        <v>87257</v>
      </c>
      <c r="D389" s="25" t="s">
        <v>185</v>
      </c>
      <c r="E389" s="23" t="s">
        <v>19</v>
      </c>
      <c r="F389" s="26" t="n">
        <f aca="false">F385</f>
        <v>106.5</v>
      </c>
      <c r="G389" s="27"/>
      <c r="H389" s="37"/>
      <c r="I389" s="27"/>
      <c r="K389" s="29"/>
      <c r="L389" s="29"/>
      <c r="M389" s="29"/>
      <c r="N389" s="29"/>
    </row>
    <row r="390" customFormat="false" ht="14.9" hidden="false" customHeight="false" outlineLevel="0" collapsed="false">
      <c r="A390" s="23" t="s">
        <v>580</v>
      </c>
      <c r="B390" s="24" t="s">
        <v>57</v>
      </c>
      <c r="C390" s="23" t="n">
        <v>88650</v>
      </c>
      <c r="D390" s="25" t="s">
        <v>187</v>
      </c>
      <c r="E390" s="23" t="s">
        <v>24</v>
      </c>
      <c r="F390" s="26" t="n">
        <f aca="false">12+4+8+5.1+5.1+15+15+2.7+2+3.4+3+3.7+16+8+14+6+3.4+3</f>
        <v>129.4</v>
      </c>
      <c r="G390" s="27"/>
      <c r="H390" s="27"/>
      <c r="I390" s="27"/>
      <c r="K390" s="29"/>
      <c r="L390" s="29"/>
      <c r="M390" s="29"/>
      <c r="N390" s="29"/>
    </row>
    <row r="391" customFormat="false" ht="14.9" hidden="false" customHeight="false" outlineLevel="0" collapsed="false">
      <c r="A391" s="23" t="s">
        <v>581</v>
      </c>
      <c r="B391" s="24" t="s">
        <v>57</v>
      </c>
      <c r="C391" s="23" t="n">
        <v>96624</v>
      </c>
      <c r="D391" s="25" t="s">
        <v>175</v>
      </c>
      <c r="E391" s="23" t="s">
        <v>49</v>
      </c>
      <c r="F391" s="26" t="n">
        <f aca="false">F385*0.05</f>
        <v>5.325</v>
      </c>
      <c r="G391" s="27"/>
      <c r="H391" s="27"/>
      <c r="I391" s="27"/>
      <c r="K391" s="42"/>
      <c r="L391" s="29"/>
      <c r="M391" s="29"/>
      <c r="N391" s="29"/>
    </row>
    <row r="392" customFormat="false" ht="13.8" hidden="false" customHeight="false" outlineLevel="0" collapsed="false">
      <c r="A392" s="23" t="s">
        <v>582</v>
      </c>
      <c r="B392" s="24" t="s">
        <v>57</v>
      </c>
      <c r="C392" s="23" t="n">
        <v>97113</v>
      </c>
      <c r="D392" s="25" t="s">
        <v>65</v>
      </c>
      <c r="E392" s="23" t="s">
        <v>19</v>
      </c>
      <c r="F392" s="26" t="n">
        <f aca="false">F385</f>
        <v>106.5</v>
      </c>
      <c r="G392" s="27"/>
      <c r="H392" s="27"/>
      <c r="I392" s="27"/>
      <c r="K392" s="42"/>
      <c r="L392" s="29"/>
      <c r="M392" s="29"/>
      <c r="N392" s="29"/>
    </row>
    <row r="393" customFormat="false" ht="21.6" hidden="false" customHeight="false" outlineLevel="0" collapsed="false">
      <c r="A393" s="23" t="s">
        <v>583</v>
      </c>
      <c r="B393" s="24" t="s">
        <v>57</v>
      </c>
      <c r="C393" s="23" t="n">
        <v>90930</v>
      </c>
      <c r="D393" s="25" t="s">
        <v>584</v>
      </c>
      <c r="E393" s="23" t="s">
        <v>19</v>
      </c>
      <c r="F393" s="26" t="n">
        <f aca="false">F385</f>
        <v>106.5</v>
      </c>
      <c r="G393" s="27"/>
      <c r="H393" s="27"/>
      <c r="I393" s="27"/>
      <c r="K393" s="42"/>
      <c r="L393" s="29"/>
      <c r="M393" s="29"/>
      <c r="N393" s="29"/>
    </row>
    <row r="394" customFormat="false" ht="13.8" hidden="false" customHeight="false" outlineLevel="0" collapsed="false">
      <c r="A394" s="23" t="s">
        <v>585</v>
      </c>
      <c r="B394" s="30" t="s">
        <v>21</v>
      </c>
      <c r="C394" s="23" t="s">
        <v>586</v>
      </c>
      <c r="D394" s="25" t="s">
        <v>587</v>
      </c>
      <c r="E394" s="23" t="s">
        <v>19</v>
      </c>
      <c r="F394" s="26" t="n">
        <v>4.5</v>
      </c>
      <c r="G394" s="27"/>
      <c r="H394" s="27"/>
      <c r="I394" s="27"/>
      <c r="K394" s="29"/>
      <c r="L394" s="29"/>
      <c r="M394" s="29"/>
      <c r="N394" s="29"/>
    </row>
    <row r="395" customFormat="false" ht="13.8" hidden="false" customHeight="false" outlineLevel="0" collapsed="false">
      <c r="A395" s="23" t="s">
        <v>588</v>
      </c>
      <c r="B395" s="30" t="s">
        <v>21</v>
      </c>
      <c r="C395" s="23" t="s">
        <v>589</v>
      </c>
      <c r="D395" s="25" t="s">
        <v>590</v>
      </c>
      <c r="E395" s="23" t="s">
        <v>19</v>
      </c>
      <c r="F395" s="26" t="n">
        <v>12.5</v>
      </c>
      <c r="G395" s="27"/>
      <c r="H395" s="27"/>
      <c r="I395" s="27"/>
      <c r="K395" s="42"/>
      <c r="L395" s="29"/>
      <c r="M395" s="29"/>
      <c r="N395" s="29"/>
    </row>
    <row r="396" customFormat="false" ht="14.9" hidden="false" customHeight="false" outlineLevel="0" collapsed="false">
      <c r="A396" s="23" t="s">
        <v>591</v>
      </c>
      <c r="B396" s="24" t="s">
        <v>57</v>
      </c>
      <c r="C396" s="23" t="n">
        <v>102491</v>
      </c>
      <c r="D396" s="25" t="s">
        <v>592</v>
      </c>
      <c r="E396" s="23" t="s">
        <v>19</v>
      </c>
      <c r="F396" s="26" t="n">
        <v>205</v>
      </c>
      <c r="G396" s="27"/>
      <c r="H396" s="27"/>
      <c r="I396" s="27"/>
      <c r="K396" s="42"/>
      <c r="L396" s="29"/>
      <c r="M396" s="29"/>
      <c r="N396" s="29"/>
    </row>
    <row r="397" customFormat="false" ht="13.8" hidden="false" customHeight="false" outlineLevel="0" collapsed="false">
      <c r="A397" s="66" t="s">
        <v>593</v>
      </c>
      <c r="B397" s="66"/>
      <c r="C397" s="66"/>
      <c r="D397" s="66"/>
      <c r="E397" s="66"/>
      <c r="F397" s="66"/>
      <c r="G397" s="66"/>
      <c r="H397" s="66"/>
      <c r="I397" s="65"/>
      <c r="K397" s="29"/>
      <c r="L397" s="29"/>
      <c r="M397" s="29"/>
      <c r="N397" s="29"/>
    </row>
    <row r="398" customFormat="false" ht="14.9" hidden="false" customHeight="false" outlineLevel="0" collapsed="false">
      <c r="A398" s="23" t="s">
        <v>594</v>
      </c>
      <c r="B398" s="24" t="s">
        <v>57</v>
      </c>
      <c r="C398" s="23" t="n">
        <v>96624</v>
      </c>
      <c r="D398" s="25" t="s">
        <v>175</v>
      </c>
      <c r="E398" s="23" t="s">
        <v>49</v>
      </c>
      <c r="F398" s="26" t="n">
        <f aca="false">0.42</f>
        <v>0.42</v>
      </c>
      <c r="G398" s="27"/>
      <c r="H398" s="27"/>
      <c r="I398" s="27"/>
      <c r="K398" s="42"/>
      <c r="L398" s="29"/>
      <c r="M398" s="29"/>
      <c r="N398" s="29"/>
    </row>
    <row r="399" customFormat="false" ht="13.8" hidden="false" customHeight="false" outlineLevel="0" collapsed="false">
      <c r="A399" s="23" t="s">
        <v>595</v>
      </c>
      <c r="B399" s="24" t="s">
        <v>57</v>
      </c>
      <c r="C399" s="23" t="n">
        <v>97113</v>
      </c>
      <c r="D399" s="25" t="s">
        <v>65</v>
      </c>
      <c r="E399" s="23" t="s">
        <v>19</v>
      </c>
      <c r="F399" s="26" t="n">
        <v>4.1</v>
      </c>
      <c r="G399" s="27"/>
      <c r="H399" s="27"/>
      <c r="I399" s="27"/>
      <c r="K399" s="42"/>
      <c r="L399" s="29"/>
      <c r="M399" s="29"/>
      <c r="N399" s="29"/>
    </row>
    <row r="400" customFormat="false" ht="21.6" hidden="false" customHeight="false" outlineLevel="0" collapsed="false">
      <c r="A400" s="23" t="s">
        <v>596</v>
      </c>
      <c r="B400" s="24" t="s">
        <v>57</v>
      </c>
      <c r="C400" s="23" t="n">
        <v>90930</v>
      </c>
      <c r="D400" s="25" t="s">
        <v>584</v>
      </c>
      <c r="E400" s="23" t="s">
        <v>19</v>
      </c>
      <c r="F400" s="26" t="n">
        <v>4.1</v>
      </c>
      <c r="G400" s="27"/>
      <c r="H400" s="27"/>
      <c r="I400" s="27"/>
      <c r="K400" s="42"/>
      <c r="L400" s="29"/>
      <c r="M400" s="29"/>
      <c r="N400" s="29"/>
    </row>
    <row r="401" customFormat="false" ht="13.8" hidden="false" customHeight="false" outlineLevel="0" collapsed="false">
      <c r="A401" s="66" t="s">
        <v>597</v>
      </c>
      <c r="B401" s="66"/>
      <c r="C401" s="66"/>
      <c r="D401" s="66"/>
      <c r="E401" s="66"/>
      <c r="F401" s="66"/>
      <c r="G401" s="66"/>
      <c r="H401" s="66"/>
      <c r="I401" s="65"/>
      <c r="K401" s="29"/>
      <c r="L401" s="29"/>
      <c r="M401" s="29"/>
      <c r="N401" s="29"/>
    </row>
    <row r="402" customFormat="false" ht="13.8" hidden="false" customHeight="false" outlineLevel="0" collapsed="false">
      <c r="A402" s="23" t="s">
        <v>598</v>
      </c>
      <c r="B402" s="30" t="s">
        <v>21</v>
      </c>
      <c r="C402" s="23" t="s">
        <v>99</v>
      </c>
      <c r="D402" s="25" t="s">
        <v>100</v>
      </c>
      <c r="E402" s="23" t="s">
        <v>24</v>
      </c>
      <c r="F402" s="26" t="n">
        <f aca="false">0.42</f>
        <v>0.42</v>
      </c>
      <c r="G402" s="27"/>
      <c r="H402" s="27"/>
      <c r="I402" s="27"/>
      <c r="K402" s="29"/>
      <c r="L402" s="29"/>
      <c r="M402" s="29"/>
      <c r="N402" s="29"/>
    </row>
    <row r="403" customFormat="false" ht="13.8" hidden="false" customHeight="false" outlineLevel="0" collapsed="false">
      <c r="A403" s="23" t="s">
        <v>599</v>
      </c>
      <c r="B403" s="24" t="s">
        <v>57</v>
      </c>
      <c r="C403" s="23" t="n">
        <v>92800</v>
      </c>
      <c r="D403" s="25" t="s">
        <v>102</v>
      </c>
      <c r="E403" s="23" t="s">
        <v>103</v>
      </c>
      <c r="F403" s="26" t="n">
        <f aca="false">0.42</f>
        <v>0.42</v>
      </c>
      <c r="G403" s="27"/>
      <c r="H403" s="27"/>
      <c r="I403" s="27"/>
      <c r="K403" s="29"/>
      <c r="L403" s="29"/>
      <c r="M403" s="29"/>
      <c r="N403" s="29"/>
    </row>
    <row r="404" customFormat="false" ht="13.8" hidden="false" customHeight="false" outlineLevel="0" collapsed="false">
      <c r="A404" s="23" t="s">
        <v>600</v>
      </c>
      <c r="B404" s="24" t="s">
        <v>57</v>
      </c>
      <c r="C404" s="23" t="n">
        <v>92803</v>
      </c>
      <c r="D404" s="25" t="s">
        <v>105</v>
      </c>
      <c r="E404" s="23" t="s">
        <v>103</v>
      </c>
      <c r="F404" s="26" t="n">
        <f aca="false">0.42</f>
        <v>0.42</v>
      </c>
      <c r="G404" s="27"/>
      <c r="H404" s="27"/>
      <c r="I404" s="27"/>
      <c r="K404" s="29"/>
      <c r="L404" s="29"/>
      <c r="M404" s="29"/>
      <c r="N404" s="2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</row>
    <row r="405" customFormat="false" ht="14.9" hidden="false" customHeight="false" outlineLevel="0" collapsed="false">
      <c r="A405" s="23" t="s">
        <v>601</v>
      </c>
      <c r="B405" s="24" t="s">
        <v>57</v>
      </c>
      <c r="C405" s="23" t="n">
        <v>96526</v>
      </c>
      <c r="D405" s="25" t="s">
        <v>107</v>
      </c>
      <c r="E405" s="23" t="s">
        <v>49</v>
      </c>
      <c r="F405" s="26" t="n">
        <f aca="false">0.42</f>
        <v>0.42</v>
      </c>
      <c r="G405" s="27"/>
      <c r="H405" s="27"/>
      <c r="I405" s="27"/>
      <c r="K405" s="29"/>
      <c r="L405" s="29"/>
      <c r="M405" s="29"/>
      <c r="N405" s="29"/>
    </row>
    <row r="406" customFormat="false" ht="14.9" hidden="false" customHeight="false" outlineLevel="0" collapsed="false">
      <c r="A406" s="23" t="s">
        <v>602</v>
      </c>
      <c r="B406" s="24" t="s">
        <v>57</v>
      </c>
      <c r="C406" s="23" t="n">
        <v>101619</v>
      </c>
      <c r="D406" s="25" t="s">
        <v>109</v>
      </c>
      <c r="E406" s="23" t="s">
        <v>49</v>
      </c>
      <c r="F406" s="26" t="n">
        <f aca="false">0.42</f>
        <v>0.42</v>
      </c>
      <c r="G406" s="27"/>
      <c r="H406" s="27"/>
      <c r="I406" s="27"/>
      <c r="K406" s="29"/>
      <c r="L406" s="29"/>
      <c r="M406" s="29"/>
      <c r="N406" s="29"/>
    </row>
    <row r="407" customFormat="false" ht="13.8" hidden="false" customHeight="false" outlineLevel="0" collapsed="false">
      <c r="A407" s="23" t="s">
        <v>603</v>
      </c>
      <c r="B407" s="24" t="s">
        <v>57</v>
      </c>
      <c r="C407" s="23" t="n">
        <v>92800</v>
      </c>
      <c r="D407" s="25" t="s">
        <v>102</v>
      </c>
      <c r="E407" s="23" t="s">
        <v>103</v>
      </c>
      <c r="F407" s="26" t="n">
        <f aca="false">0.42</f>
        <v>0.42</v>
      </c>
      <c r="G407" s="27"/>
      <c r="H407" s="27"/>
      <c r="I407" s="27"/>
      <c r="K407" s="29"/>
      <c r="L407" s="29"/>
      <c r="M407" s="29"/>
      <c r="N407" s="29"/>
    </row>
    <row r="408" customFormat="false" ht="13.8" hidden="false" customHeight="false" outlineLevel="0" collapsed="false">
      <c r="A408" s="23" t="s">
        <v>604</v>
      </c>
      <c r="B408" s="24" t="s">
        <v>57</v>
      </c>
      <c r="C408" s="23" t="n">
        <v>92803</v>
      </c>
      <c r="D408" s="25" t="s">
        <v>105</v>
      </c>
      <c r="E408" s="23" t="s">
        <v>103</v>
      </c>
      <c r="F408" s="26" t="n">
        <f aca="false">0.42</f>
        <v>0.42</v>
      </c>
      <c r="G408" s="27"/>
      <c r="H408" s="27"/>
      <c r="I408" s="27"/>
      <c r="K408" s="29"/>
      <c r="L408" s="29"/>
      <c r="M408" s="29"/>
      <c r="N408" s="2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</row>
    <row r="409" customFormat="false" ht="14.9" hidden="false" customHeight="false" outlineLevel="0" collapsed="false">
      <c r="A409" s="23" t="s">
        <v>605</v>
      </c>
      <c r="B409" s="24" t="s">
        <v>57</v>
      </c>
      <c r="C409" s="23" t="n">
        <v>96557</v>
      </c>
      <c r="D409" s="25" t="s">
        <v>113</v>
      </c>
      <c r="E409" s="23" t="s">
        <v>49</v>
      </c>
      <c r="F409" s="26" t="n">
        <f aca="false">0.42</f>
        <v>0.42</v>
      </c>
      <c r="G409" s="27"/>
      <c r="H409" s="27"/>
      <c r="I409" s="27"/>
      <c r="K409" s="29"/>
      <c r="L409" s="29"/>
      <c r="M409" s="29"/>
      <c r="N409" s="2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</row>
    <row r="410" customFormat="false" ht="14.9" hidden="false" customHeight="false" outlineLevel="0" collapsed="false">
      <c r="A410" s="23" t="s">
        <v>606</v>
      </c>
      <c r="B410" s="24" t="s">
        <v>57</v>
      </c>
      <c r="C410" s="23" t="n">
        <v>101165</v>
      </c>
      <c r="D410" s="25" t="s">
        <v>115</v>
      </c>
      <c r="E410" s="23" t="s">
        <v>49</v>
      </c>
      <c r="F410" s="26" t="n">
        <f aca="false">0.42</f>
        <v>0.42</v>
      </c>
      <c r="G410" s="27"/>
      <c r="H410" s="27"/>
      <c r="I410" s="27"/>
      <c r="K410" s="29"/>
      <c r="L410" s="29"/>
      <c r="M410" s="29"/>
      <c r="N410" s="29"/>
    </row>
    <row r="411" customFormat="false" ht="13.8" hidden="false" customHeight="false" outlineLevel="0" collapsed="false">
      <c r="A411" s="66" t="s">
        <v>607</v>
      </c>
      <c r="B411" s="66"/>
      <c r="C411" s="66"/>
      <c r="D411" s="66"/>
      <c r="E411" s="66"/>
      <c r="F411" s="66"/>
      <c r="G411" s="66"/>
      <c r="H411" s="66"/>
      <c r="I411" s="65"/>
      <c r="K411" s="29"/>
      <c r="L411" s="29"/>
      <c r="M411" s="29"/>
      <c r="N411" s="29"/>
    </row>
    <row r="412" customFormat="false" ht="21.6" hidden="false" customHeight="false" outlineLevel="0" collapsed="false">
      <c r="A412" s="23" t="s">
        <v>608</v>
      </c>
      <c r="B412" s="24" t="s">
        <v>57</v>
      </c>
      <c r="C412" s="23" t="n">
        <v>92415</v>
      </c>
      <c r="D412" s="25" t="s">
        <v>118</v>
      </c>
      <c r="E412" s="23" t="s">
        <v>19</v>
      </c>
      <c r="F412" s="26" t="n">
        <f aca="false">0.42</f>
        <v>0.42</v>
      </c>
      <c r="G412" s="27"/>
      <c r="H412" s="27"/>
      <c r="I412" s="27"/>
      <c r="K412" s="29"/>
      <c r="L412" s="29"/>
      <c r="M412" s="29"/>
      <c r="N412" s="2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</row>
    <row r="413" customFormat="false" ht="13.8" hidden="false" customHeight="false" outlineLevel="0" collapsed="false">
      <c r="A413" s="23" t="s">
        <v>609</v>
      </c>
      <c r="B413" s="24" t="s">
        <v>57</v>
      </c>
      <c r="C413" s="23" t="n">
        <v>92800</v>
      </c>
      <c r="D413" s="25" t="s">
        <v>102</v>
      </c>
      <c r="E413" s="23" t="s">
        <v>103</v>
      </c>
      <c r="F413" s="26" t="n">
        <f aca="false">0.42</f>
        <v>0.42</v>
      </c>
      <c r="G413" s="27"/>
      <c r="H413" s="27"/>
      <c r="I413" s="27"/>
      <c r="K413" s="29"/>
      <c r="L413" s="29"/>
      <c r="M413" s="29"/>
      <c r="N413" s="29"/>
    </row>
    <row r="414" customFormat="false" ht="13.8" hidden="false" customHeight="false" outlineLevel="0" collapsed="false">
      <c r="A414" s="23" t="s">
        <v>610</v>
      </c>
      <c r="B414" s="24" t="s">
        <v>57</v>
      </c>
      <c r="C414" s="23" t="n">
        <v>92803</v>
      </c>
      <c r="D414" s="25" t="s">
        <v>105</v>
      </c>
      <c r="E414" s="23" t="s">
        <v>103</v>
      </c>
      <c r="F414" s="26" t="n">
        <f aca="false">0.42</f>
        <v>0.42</v>
      </c>
      <c r="G414" s="27"/>
      <c r="H414" s="27"/>
      <c r="I414" s="27"/>
      <c r="K414" s="29"/>
      <c r="L414" s="29"/>
      <c r="M414" s="29"/>
      <c r="N414" s="2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</row>
    <row r="415" customFormat="false" ht="14.9" hidden="false" customHeight="false" outlineLevel="0" collapsed="false">
      <c r="A415" s="23" t="s">
        <v>611</v>
      </c>
      <c r="B415" s="24" t="s">
        <v>57</v>
      </c>
      <c r="C415" s="23" t="n">
        <v>103672</v>
      </c>
      <c r="D415" s="25" t="s">
        <v>122</v>
      </c>
      <c r="E415" s="23" t="s">
        <v>49</v>
      </c>
      <c r="F415" s="26" t="n">
        <f aca="false">0.42</f>
        <v>0.42</v>
      </c>
      <c r="G415" s="27"/>
      <c r="H415" s="27"/>
      <c r="I415" s="27"/>
      <c r="K415" s="29"/>
      <c r="L415" s="29"/>
      <c r="M415" s="29"/>
      <c r="N415" s="29"/>
    </row>
    <row r="416" customFormat="false" ht="21.6" hidden="false" customHeight="false" outlineLevel="0" collapsed="false">
      <c r="A416" s="23" t="s">
        <v>612</v>
      </c>
      <c r="B416" s="24" t="s">
        <v>57</v>
      </c>
      <c r="C416" s="23" t="n">
        <v>103324</v>
      </c>
      <c r="D416" s="25" t="s">
        <v>124</v>
      </c>
      <c r="E416" s="23" t="s">
        <v>19</v>
      </c>
      <c r="F416" s="26" t="n">
        <f aca="false">0.42</f>
        <v>0.42</v>
      </c>
      <c r="G416" s="27"/>
      <c r="H416" s="27"/>
      <c r="I416" s="27"/>
      <c r="K416" s="29"/>
      <c r="L416" s="29"/>
      <c r="M416" s="29"/>
      <c r="N416" s="29"/>
    </row>
    <row r="417" customFormat="false" ht="13.8" hidden="false" customHeight="false" outlineLevel="0" collapsed="false">
      <c r="A417" s="23" t="s">
        <v>613</v>
      </c>
      <c r="B417" s="30" t="s">
        <v>21</v>
      </c>
      <c r="C417" s="54" t="s">
        <v>126</v>
      </c>
      <c r="D417" s="25" t="s">
        <v>127</v>
      </c>
      <c r="E417" s="23" t="s">
        <v>24</v>
      </c>
      <c r="F417" s="26" t="n">
        <f aca="false">0.42</f>
        <v>0.42</v>
      </c>
      <c r="G417" s="27"/>
      <c r="H417" s="27"/>
      <c r="I417" s="27"/>
      <c r="K417" s="29"/>
      <c r="L417" s="29"/>
      <c r="M417" s="29"/>
      <c r="N417" s="29"/>
    </row>
    <row r="418" customFormat="false" ht="21.6" hidden="false" customHeight="false" outlineLevel="0" collapsed="false">
      <c r="A418" s="23" t="s">
        <v>614</v>
      </c>
      <c r="B418" s="24" t="s">
        <v>57</v>
      </c>
      <c r="C418" s="23" t="n">
        <v>92451</v>
      </c>
      <c r="D418" s="25" t="s">
        <v>129</v>
      </c>
      <c r="E418" s="23" t="s">
        <v>19</v>
      </c>
      <c r="F418" s="26" t="n">
        <f aca="false">0.42</f>
        <v>0.42</v>
      </c>
      <c r="G418" s="27"/>
      <c r="H418" s="27"/>
      <c r="I418" s="27"/>
      <c r="K418" s="29"/>
      <c r="L418" s="29"/>
      <c r="M418" s="29"/>
      <c r="N418" s="29"/>
    </row>
    <row r="419" customFormat="false" ht="13.8" hidden="false" customHeight="false" outlineLevel="0" collapsed="false">
      <c r="A419" s="23" t="s">
        <v>615</v>
      </c>
      <c r="B419" s="24" t="s">
        <v>57</v>
      </c>
      <c r="C419" s="23" t="n">
        <v>92800</v>
      </c>
      <c r="D419" s="25" t="s">
        <v>102</v>
      </c>
      <c r="E419" s="23" t="s">
        <v>103</v>
      </c>
      <c r="F419" s="26" t="n">
        <f aca="false">0.42</f>
        <v>0.42</v>
      </c>
      <c r="G419" s="27"/>
      <c r="H419" s="27"/>
      <c r="I419" s="27"/>
      <c r="K419" s="29"/>
      <c r="L419" s="29"/>
      <c r="M419" s="29"/>
      <c r="N419" s="29"/>
    </row>
    <row r="420" customFormat="false" ht="13.8" hidden="false" customHeight="false" outlineLevel="0" collapsed="false">
      <c r="A420" s="23" t="s">
        <v>616</v>
      </c>
      <c r="B420" s="24" t="s">
        <v>57</v>
      </c>
      <c r="C420" s="23" t="n">
        <v>92803</v>
      </c>
      <c r="D420" s="25" t="s">
        <v>105</v>
      </c>
      <c r="E420" s="23" t="s">
        <v>103</v>
      </c>
      <c r="F420" s="26" t="n">
        <f aca="false">0.42</f>
        <v>0.42</v>
      </c>
      <c r="G420" s="27"/>
      <c r="H420" s="27"/>
      <c r="I420" s="27"/>
      <c r="K420" s="29"/>
      <c r="L420" s="29"/>
      <c r="M420" s="29"/>
      <c r="N420" s="2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</row>
    <row r="421" customFormat="false" ht="13.8" hidden="false" customHeight="false" outlineLevel="0" collapsed="false">
      <c r="A421" s="23" t="s">
        <v>617</v>
      </c>
      <c r="B421" s="24" t="s">
        <v>57</v>
      </c>
      <c r="C421" s="23" t="n">
        <v>92804</v>
      </c>
      <c r="D421" s="25" t="s">
        <v>133</v>
      </c>
      <c r="E421" s="23" t="s">
        <v>103</v>
      </c>
      <c r="F421" s="26" t="n">
        <f aca="false">0.42</f>
        <v>0.42</v>
      </c>
      <c r="G421" s="27"/>
      <c r="H421" s="27"/>
      <c r="I421" s="27"/>
      <c r="K421" s="29"/>
      <c r="L421" s="29"/>
      <c r="M421" s="29"/>
      <c r="N421" s="2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</row>
    <row r="422" customFormat="false" ht="14.9" hidden="false" customHeight="false" outlineLevel="0" collapsed="false">
      <c r="A422" s="23" t="s">
        <v>618</v>
      </c>
      <c r="B422" s="24" t="s">
        <v>57</v>
      </c>
      <c r="C422" s="23" t="n">
        <v>103675</v>
      </c>
      <c r="D422" s="25" t="s">
        <v>135</v>
      </c>
      <c r="E422" s="23" t="s">
        <v>49</v>
      </c>
      <c r="F422" s="26" t="n">
        <f aca="false">0.42</f>
        <v>0.42</v>
      </c>
      <c r="G422" s="27"/>
      <c r="H422" s="27"/>
      <c r="I422" s="27"/>
      <c r="K422" s="29"/>
      <c r="L422" s="29"/>
      <c r="M422" s="29"/>
      <c r="N422" s="29"/>
    </row>
    <row r="423" customFormat="false" ht="13.8" hidden="false" customHeight="false" outlineLevel="0" collapsed="false">
      <c r="A423" s="66" t="s">
        <v>155</v>
      </c>
      <c r="B423" s="66"/>
      <c r="C423" s="66"/>
      <c r="D423" s="66"/>
      <c r="E423" s="66"/>
      <c r="F423" s="66"/>
      <c r="G423" s="66"/>
      <c r="H423" s="66"/>
      <c r="I423" s="65"/>
      <c r="K423" s="29"/>
      <c r="L423" s="29"/>
      <c r="M423" s="29"/>
      <c r="N423" s="29"/>
    </row>
    <row r="424" customFormat="false" ht="13.8" hidden="false" customHeight="false" outlineLevel="0" collapsed="false">
      <c r="A424" s="23" t="s">
        <v>619</v>
      </c>
      <c r="B424" s="31" t="s">
        <v>26</v>
      </c>
      <c r="C424" s="23" t="s">
        <v>620</v>
      </c>
      <c r="D424" s="25" t="s">
        <v>621</v>
      </c>
      <c r="E424" s="23" t="s">
        <v>19</v>
      </c>
      <c r="F424" s="26" t="n">
        <f aca="false">'MEMORIAL DE CALCULO'!F780</f>
        <v>293.15</v>
      </c>
      <c r="G424" s="27"/>
      <c r="H424" s="27"/>
      <c r="I424" s="27"/>
      <c r="K424" s="29"/>
      <c r="L424" s="29"/>
      <c r="M424" s="29"/>
      <c r="N424" s="2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</row>
    <row r="425" customFormat="false" ht="14.9" hidden="false" customHeight="false" outlineLevel="0" collapsed="false">
      <c r="A425" s="23" t="s">
        <v>622</v>
      </c>
      <c r="B425" s="24" t="s">
        <v>57</v>
      </c>
      <c r="C425" s="23" t="n">
        <v>87879</v>
      </c>
      <c r="D425" s="25" t="s">
        <v>157</v>
      </c>
      <c r="E425" s="23" t="s">
        <v>19</v>
      </c>
      <c r="F425" s="26" t="n">
        <f aca="false">'MEMORIAL DE CALCULO'!F806</f>
        <v>293.15</v>
      </c>
      <c r="G425" s="27"/>
      <c r="H425" s="27"/>
      <c r="I425" s="27"/>
      <c r="K425" s="29"/>
      <c r="L425" s="29"/>
      <c r="M425" s="29"/>
      <c r="N425" s="2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</row>
    <row r="426" customFormat="false" ht="13.8" hidden="false" customHeight="false" outlineLevel="0" collapsed="false">
      <c r="A426" s="23" t="s">
        <v>623</v>
      </c>
      <c r="B426" s="31" t="s">
        <v>26</v>
      </c>
      <c r="C426" s="23" t="s">
        <v>159</v>
      </c>
      <c r="D426" s="25" t="s">
        <v>160</v>
      </c>
      <c r="E426" s="23" t="s">
        <v>19</v>
      </c>
      <c r="F426" s="26" t="n">
        <f aca="false">'MEMORIAL DE CALCULO'!F807</f>
        <v>293.15</v>
      </c>
      <c r="G426" s="27"/>
      <c r="H426" s="27"/>
      <c r="I426" s="27"/>
      <c r="K426" s="29"/>
      <c r="L426" s="29"/>
      <c r="M426" s="29"/>
      <c r="N426" s="2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</row>
    <row r="427" customFormat="false" ht="13.8" hidden="false" customHeight="false" outlineLevel="0" collapsed="false">
      <c r="A427" s="23" t="s">
        <v>624</v>
      </c>
      <c r="B427" s="31" t="s">
        <v>26</v>
      </c>
      <c r="C427" s="23" t="s">
        <v>162</v>
      </c>
      <c r="D427" s="25" t="s">
        <v>163</v>
      </c>
      <c r="E427" s="23" t="s">
        <v>19</v>
      </c>
      <c r="F427" s="26" t="n">
        <f aca="false">'MEMORIAL DE CALCULO'!F808</f>
        <v>293.15</v>
      </c>
      <c r="G427" s="27"/>
      <c r="H427" s="27"/>
      <c r="I427" s="27"/>
      <c r="K427" s="29"/>
      <c r="L427" s="29"/>
      <c r="M427" s="29"/>
      <c r="N427" s="2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</row>
    <row r="428" customFormat="false" ht="14.9" hidden="false" customHeight="false" outlineLevel="0" collapsed="false">
      <c r="A428" s="23" t="s">
        <v>625</v>
      </c>
      <c r="B428" s="24" t="s">
        <v>57</v>
      </c>
      <c r="C428" s="23" t="n">
        <v>88411</v>
      </c>
      <c r="D428" s="25" t="s">
        <v>168</v>
      </c>
      <c r="E428" s="23" t="s">
        <v>19</v>
      </c>
      <c r="F428" s="26" t="n">
        <f aca="false">'MEMORIAL DE CALCULO'!F809</f>
        <v>293.15</v>
      </c>
      <c r="G428" s="27"/>
      <c r="H428" s="27"/>
      <c r="I428" s="27"/>
    </row>
    <row r="429" customFormat="false" ht="14.9" hidden="false" customHeight="false" outlineLevel="0" collapsed="false">
      <c r="A429" s="23" t="s">
        <v>626</v>
      </c>
      <c r="B429" s="24" t="s">
        <v>57</v>
      </c>
      <c r="C429" s="23" t="n">
        <v>88489</v>
      </c>
      <c r="D429" s="25" t="s">
        <v>172</v>
      </c>
      <c r="E429" s="23" t="s">
        <v>19</v>
      </c>
      <c r="F429" s="26" t="n">
        <f aca="false">'MEMORIAL DE CALCULO'!F810</f>
        <v>293.15</v>
      </c>
      <c r="G429" s="27"/>
      <c r="H429" s="27"/>
      <c r="I429" s="27"/>
      <c r="K429" s="29"/>
      <c r="L429" s="29"/>
      <c r="M429" s="29"/>
      <c r="N429" s="2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</row>
    <row r="430" customFormat="false" ht="13.8" hidden="false" customHeight="false" outlineLevel="0" collapsed="false">
      <c r="A430" s="66" t="s">
        <v>139</v>
      </c>
      <c r="B430" s="66"/>
      <c r="C430" s="66"/>
      <c r="D430" s="66"/>
      <c r="E430" s="66"/>
      <c r="F430" s="66"/>
      <c r="G430" s="66"/>
      <c r="H430" s="66"/>
      <c r="I430" s="65"/>
      <c r="K430" s="29"/>
      <c r="L430" s="29"/>
      <c r="M430" s="29"/>
      <c r="N430" s="29"/>
    </row>
    <row r="431" customFormat="false" ht="13.8" hidden="false" customHeight="false" outlineLevel="0" collapsed="false">
      <c r="A431" s="23" t="s">
        <v>627</v>
      </c>
      <c r="B431" s="31" t="s">
        <v>26</v>
      </c>
      <c r="C431" s="23" t="s">
        <v>628</v>
      </c>
      <c r="D431" s="25" t="s">
        <v>629</v>
      </c>
      <c r="E431" s="23" t="s">
        <v>19</v>
      </c>
      <c r="F431" s="26" t="n">
        <v>120</v>
      </c>
      <c r="G431" s="27"/>
      <c r="H431" s="27"/>
      <c r="I431" s="27"/>
      <c r="K431" s="29"/>
      <c r="L431" s="29"/>
      <c r="M431" s="29"/>
      <c r="N431" s="29"/>
    </row>
    <row r="432" customFormat="false" ht="13.8" hidden="false" customHeight="false" outlineLevel="0" collapsed="false">
      <c r="A432" s="23" t="s">
        <v>630</v>
      </c>
      <c r="B432" s="31" t="s">
        <v>26</v>
      </c>
      <c r="C432" s="23" t="s">
        <v>631</v>
      </c>
      <c r="D432" s="25" t="s">
        <v>632</v>
      </c>
      <c r="E432" s="23" t="s">
        <v>19</v>
      </c>
      <c r="F432" s="26" t="n">
        <v>120</v>
      </c>
      <c r="G432" s="27"/>
      <c r="H432" s="27"/>
      <c r="I432" s="27"/>
      <c r="K432" s="29"/>
      <c r="L432" s="29"/>
      <c r="M432" s="29"/>
      <c r="N432" s="29"/>
    </row>
    <row r="433" customFormat="false" ht="13.8" hidden="false" customHeight="false" outlineLevel="0" collapsed="false">
      <c r="A433" s="23" t="s">
        <v>633</v>
      </c>
      <c r="B433" s="30" t="s">
        <v>21</v>
      </c>
      <c r="C433" s="23" t="s">
        <v>254</v>
      </c>
      <c r="D433" s="25" t="s">
        <v>255</v>
      </c>
      <c r="E433" s="23" t="s">
        <v>575</v>
      </c>
      <c r="F433" s="26" t="n">
        <f aca="false">SUM(F431*0.1)+(F432*0.2)</f>
        <v>36</v>
      </c>
      <c r="G433" s="40"/>
      <c r="H433" s="27"/>
      <c r="I433" s="40"/>
    </row>
    <row r="434" customFormat="false" ht="13.8" hidden="false" customHeight="false" outlineLevel="0" collapsed="false">
      <c r="A434" s="23" t="s">
        <v>634</v>
      </c>
      <c r="B434" s="30" t="s">
        <v>21</v>
      </c>
      <c r="C434" s="23" t="s">
        <v>577</v>
      </c>
      <c r="D434" s="25" t="s">
        <v>578</v>
      </c>
      <c r="E434" s="23" t="s">
        <v>84</v>
      </c>
      <c r="F434" s="26" t="n">
        <f aca="false">F433*30</f>
        <v>1080</v>
      </c>
      <c r="G434" s="40"/>
      <c r="H434" s="27"/>
      <c r="I434" s="40"/>
    </row>
    <row r="435" customFormat="false" ht="14.9" hidden="false" customHeight="false" outlineLevel="0" collapsed="false">
      <c r="A435" s="23" t="s">
        <v>635</v>
      </c>
      <c r="B435" s="24" t="s">
        <v>57</v>
      </c>
      <c r="C435" s="23" t="n">
        <v>100360</v>
      </c>
      <c r="D435" s="25" t="s">
        <v>636</v>
      </c>
      <c r="E435" s="23" t="s">
        <v>39</v>
      </c>
      <c r="F435" s="26" t="n">
        <v>4</v>
      </c>
      <c r="G435" s="27"/>
      <c r="H435" s="27"/>
      <c r="I435" s="27"/>
      <c r="K435" s="29"/>
      <c r="L435" s="29"/>
      <c r="M435" s="29"/>
      <c r="N435" s="29"/>
    </row>
    <row r="436" customFormat="false" ht="21.6" hidden="false" customHeight="false" outlineLevel="0" collapsed="false">
      <c r="A436" s="23" t="s">
        <v>637</v>
      </c>
      <c r="B436" s="24" t="s">
        <v>57</v>
      </c>
      <c r="C436" s="23" t="n">
        <v>92539</v>
      </c>
      <c r="D436" s="25" t="s">
        <v>638</v>
      </c>
      <c r="E436" s="23" t="s">
        <v>19</v>
      </c>
      <c r="F436" s="26" t="n">
        <v>120</v>
      </c>
      <c r="G436" s="27"/>
      <c r="H436" s="27"/>
      <c r="I436" s="27"/>
      <c r="K436" s="29"/>
      <c r="L436" s="29"/>
      <c r="M436" s="29"/>
      <c r="N436" s="29"/>
    </row>
    <row r="437" customFormat="false" ht="14.9" hidden="false" customHeight="false" outlineLevel="0" collapsed="false">
      <c r="A437" s="23" t="s">
        <v>639</v>
      </c>
      <c r="B437" s="24" t="s">
        <v>57</v>
      </c>
      <c r="C437" s="23" t="n">
        <v>94442</v>
      </c>
      <c r="D437" s="25" t="s">
        <v>640</v>
      </c>
      <c r="E437" s="23" t="s">
        <v>19</v>
      </c>
      <c r="F437" s="26" t="n">
        <v>120</v>
      </c>
      <c r="G437" s="27"/>
      <c r="H437" s="27"/>
      <c r="I437" s="27"/>
      <c r="K437" s="56"/>
      <c r="L437" s="56"/>
      <c r="M437" s="56"/>
      <c r="N437" s="56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</row>
    <row r="438" s="46" customFormat="true" ht="13.8" hidden="false" customHeight="false" outlineLevel="0" collapsed="false">
      <c r="A438" s="23" t="s">
        <v>641</v>
      </c>
      <c r="B438" s="30" t="s">
        <v>21</v>
      </c>
      <c r="C438" s="23" t="s">
        <v>148</v>
      </c>
      <c r="D438" s="25" t="s">
        <v>149</v>
      </c>
      <c r="E438" s="23" t="s">
        <v>24</v>
      </c>
      <c r="F438" s="26" t="n">
        <v>70</v>
      </c>
      <c r="G438" s="27"/>
      <c r="H438" s="27"/>
      <c r="I438" s="27"/>
      <c r="J438" s="14"/>
      <c r="K438" s="29"/>
      <c r="L438" s="29"/>
      <c r="M438" s="29"/>
      <c r="N438" s="29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  <c r="CM438" s="57"/>
      <c r="CN438" s="57"/>
      <c r="CO438" s="57"/>
      <c r="CP438" s="57"/>
      <c r="CQ438" s="57"/>
      <c r="XEU438" s="14"/>
      <c r="XEV438" s="14"/>
      <c r="XEW438" s="14"/>
      <c r="XEX438" s="14"/>
      <c r="XEY438" s="14"/>
      <c r="XEZ438" s="14"/>
      <c r="XFA438" s="14"/>
      <c r="XFB438" s="14"/>
      <c r="XFC438" s="14"/>
      <c r="XFD438" s="14"/>
    </row>
    <row r="439" customFormat="false" ht="13.8" hidden="false" customHeight="false" outlineLevel="0" collapsed="false">
      <c r="A439" s="23" t="s">
        <v>642</v>
      </c>
      <c r="B439" s="30" t="s">
        <v>21</v>
      </c>
      <c r="C439" s="23" t="s">
        <v>151</v>
      </c>
      <c r="D439" s="25" t="s">
        <v>152</v>
      </c>
      <c r="E439" s="23" t="s">
        <v>24</v>
      </c>
      <c r="F439" s="26" t="n">
        <f aca="false">15*3</f>
        <v>45</v>
      </c>
      <c r="G439" s="27"/>
      <c r="H439" s="27"/>
      <c r="I439" s="27"/>
      <c r="K439" s="29"/>
      <c r="L439" s="29"/>
      <c r="M439" s="29"/>
      <c r="N439" s="29"/>
    </row>
    <row r="440" customFormat="false" ht="21.6" hidden="false" customHeight="false" outlineLevel="0" collapsed="false">
      <c r="A440" s="23" t="s">
        <v>643</v>
      </c>
      <c r="B440" s="24" t="s">
        <v>57</v>
      </c>
      <c r="C440" s="23" t="n">
        <v>94231</v>
      </c>
      <c r="D440" s="25" t="s">
        <v>154</v>
      </c>
      <c r="E440" s="23" t="s">
        <v>24</v>
      </c>
      <c r="F440" s="26" t="n">
        <v>30</v>
      </c>
      <c r="G440" s="27"/>
      <c r="H440" s="27"/>
      <c r="I440" s="27"/>
      <c r="K440" s="29"/>
      <c r="L440" s="29"/>
      <c r="M440" s="29"/>
      <c r="N440" s="29"/>
    </row>
    <row r="441" customFormat="false" ht="14.9" hidden="false" customHeight="false" outlineLevel="0" collapsed="false">
      <c r="A441" s="23" t="s">
        <v>644</v>
      </c>
      <c r="B441" s="30" t="s">
        <v>21</v>
      </c>
      <c r="C441" s="23" t="s">
        <v>645</v>
      </c>
      <c r="D441" s="25" t="s">
        <v>646</v>
      </c>
      <c r="E441" s="23" t="s">
        <v>24</v>
      </c>
      <c r="F441" s="26" t="n">
        <f aca="false">5*3</f>
        <v>15</v>
      </c>
      <c r="G441" s="27"/>
      <c r="H441" s="27"/>
      <c r="I441" s="27"/>
      <c r="K441" s="29"/>
      <c r="L441" s="29"/>
      <c r="M441" s="29"/>
      <c r="N441" s="29"/>
    </row>
    <row r="442" customFormat="false" ht="13.8" hidden="false" customHeight="false" outlineLevel="0" collapsed="false">
      <c r="A442" s="66" t="s">
        <v>647</v>
      </c>
      <c r="B442" s="66"/>
      <c r="C442" s="66"/>
      <c r="D442" s="66"/>
      <c r="E442" s="66"/>
      <c r="F442" s="66"/>
      <c r="G442" s="66"/>
      <c r="H442" s="66"/>
      <c r="I442" s="65"/>
      <c r="K442" s="29"/>
      <c r="L442" s="29"/>
      <c r="M442" s="29"/>
      <c r="N442" s="29"/>
    </row>
    <row r="443" customFormat="false" ht="13.8" hidden="false" customHeight="false" outlineLevel="0" collapsed="false">
      <c r="A443" s="23" t="s">
        <v>648</v>
      </c>
      <c r="B443" s="31" t="s">
        <v>26</v>
      </c>
      <c r="C443" s="23" t="s">
        <v>620</v>
      </c>
      <c r="D443" s="25" t="s">
        <v>621</v>
      </c>
      <c r="E443" s="23" t="s">
        <v>19</v>
      </c>
      <c r="F443" s="26" t="n">
        <f aca="false">'MEMORIAL DE CALCULO'!F780</f>
        <v>293.15</v>
      </c>
      <c r="G443" s="27"/>
      <c r="H443" s="27"/>
      <c r="I443" s="27"/>
      <c r="K443" s="29"/>
      <c r="L443" s="29"/>
      <c r="M443" s="29"/>
      <c r="N443" s="2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</row>
    <row r="444" customFormat="false" ht="14.9" hidden="false" customHeight="false" outlineLevel="0" collapsed="false">
      <c r="A444" s="23" t="s">
        <v>649</v>
      </c>
      <c r="B444" s="24" t="s">
        <v>57</v>
      </c>
      <c r="C444" s="23" t="n">
        <v>87879</v>
      </c>
      <c r="D444" s="25" t="s">
        <v>157</v>
      </c>
      <c r="E444" s="23" t="s">
        <v>19</v>
      </c>
      <c r="F444" s="26" t="n">
        <f aca="false">F443</f>
        <v>293.15</v>
      </c>
      <c r="G444" s="27"/>
      <c r="H444" s="27"/>
      <c r="I444" s="27"/>
      <c r="K444" s="29"/>
      <c r="L444" s="29"/>
      <c r="M444" s="29"/>
      <c r="N444" s="2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</row>
    <row r="445" customFormat="false" ht="13.8" hidden="false" customHeight="false" outlineLevel="0" collapsed="false">
      <c r="A445" s="23" t="s">
        <v>650</v>
      </c>
      <c r="B445" s="31" t="s">
        <v>26</v>
      </c>
      <c r="C445" s="23" t="s">
        <v>159</v>
      </c>
      <c r="D445" s="25" t="s">
        <v>160</v>
      </c>
      <c r="E445" s="23" t="s">
        <v>19</v>
      </c>
      <c r="F445" s="26" t="n">
        <f aca="false">F443</f>
        <v>293.15</v>
      </c>
      <c r="G445" s="27"/>
      <c r="H445" s="27"/>
      <c r="I445" s="27"/>
      <c r="K445" s="29"/>
      <c r="L445" s="29"/>
      <c r="M445" s="29"/>
      <c r="N445" s="2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</row>
    <row r="446" customFormat="false" ht="13.8" hidden="false" customHeight="false" outlineLevel="0" collapsed="false">
      <c r="A446" s="23" t="s">
        <v>651</v>
      </c>
      <c r="B446" s="31" t="s">
        <v>26</v>
      </c>
      <c r="C446" s="23" t="s">
        <v>162</v>
      </c>
      <c r="D446" s="25" t="s">
        <v>163</v>
      </c>
      <c r="E446" s="23" t="s">
        <v>19</v>
      </c>
      <c r="F446" s="26" t="n">
        <f aca="false">F444</f>
        <v>293.15</v>
      </c>
      <c r="G446" s="27"/>
      <c r="H446" s="27"/>
      <c r="I446" s="27"/>
      <c r="K446" s="29"/>
      <c r="L446" s="29"/>
      <c r="M446" s="29"/>
      <c r="N446" s="2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</row>
    <row r="447" customFormat="false" ht="14.9" hidden="false" customHeight="false" outlineLevel="0" collapsed="false">
      <c r="A447" s="23" t="s">
        <v>652</v>
      </c>
      <c r="B447" s="24" t="s">
        <v>57</v>
      </c>
      <c r="C447" s="23" t="n">
        <v>88411</v>
      </c>
      <c r="D447" s="25" t="s">
        <v>168</v>
      </c>
      <c r="E447" s="23" t="s">
        <v>19</v>
      </c>
      <c r="F447" s="26" t="n">
        <f aca="false">F445</f>
        <v>293.15</v>
      </c>
      <c r="G447" s="27"/>
      <c r="H447" s="27"/>
      <c r="I447" s="27"/>
    </row>
    <row r="448" customFormat="false" ht="14.9" hidden="false" customHeight="false" outlineLevel="0" collapsed="false">
      <c r="A448" s="23" t="s">
        <v>653</v>
      </c>
      <c r="B448" s="24" t="s">
        <v>57</v>
      </c>
      <c r="C448" s="23" t="n">
        <v>88489</v>
      </c>
      <c r="D448" s="25" t="s">
        <v>172</v>
      </c>
      <c r="E448" s="23" t="s">
        <v>19</v>
      </c>
      <c r="F448" s="26" t="n">
        <f aca="false">F446</f>
        <v>293.15</v>
      </c>
      <c r="G448" s="27"/>
      <c r="H448" s="27"/>
      <c r="I448" s="27"/>
      <c r="K448" s="29"/>
      <c r="L448" s="29"/>
      <c r="M448" s="29"/>
      <c r="N448" s="2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</row>
    <row r="449" customFormat="false" ht="13.8" hidden="false" customHeight="false" outlineLevel="0" collapsed="false">
      <c r="A449" s="66" t="s">
        <v>654</v>
      </c>
      <c r="B449" s="66"/>
      <c r="C449" s="66"/>
      <c r="D449" s="66"/>
      <c r="E449" s="66"/>
      <c r="F449" s="66"/>
      <c r="G449" s="66"/>
      <c r="H449" s="66"/>
      <c r="I449" s="65"/>
      <c r="K449" s="29"/>
      <c r="L449" s="29"/>
      <c r="M449" s="29"/>
      <c r="N449" s="29"/>
    </row>
    <row r="450" customFormat="false" ht="13.8" hidden="false" customHeight="false" outlineLevel="0" collapsed="false">
      <c r="A450" s="23" t="s">
        <v>655</v>
      </c>
      <c r="B450" s="30" t="s">
        <v>21</v>
      </c>
      <c r="C450" s="23" t="s">
        <v>656</v>
      </c>
      <c r="D450" s="25" t="s">
        <v>657</v>
      </c>
      <c r="E450" s="23" t="s">
        <v>19</v>
      </c>
      <c r="F450" s="26" t="n">
        <f aca="false">(62+15)*2.1</f>
        <v>161.7</v>
      </c>
      <c r="G450" s="27"/>
      <c r="H450" s="27"/>
      <c r="I450" s="27"/>
      <c r="K450" s="29"/>
      <c r="L450" s="29"/>
      <c r="M450" s="29"/>
      <c r="N450" s="2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</row>
    <row r="451" customFormat="false" ht="14.9" hidden="false" customHeight="false" outlineLevel="0" collapsed="false">
      <c r="A451" s="23" t="s">
        <v>658</v>
      </c>
      <c r="B451" s="31" t="s">
        <v>26</v>
      </c>
      <c r="C451" s="23" t="s">
        <v>659</v>
      </c>
      <c r="D451" s="25" t="s">
        <v>660</v>
      </c>
      <c r="E451" s="23" t="s">
        <v>19</v>
      </c>
      <c r="F451" s="26" t="n">
        <f aca="false">SUM(62+90+9*2.1)</f>
        <v>170.9</v>
      </c>
      <c r="G451" s="27"/>
      <c r="H451" s="27"/>
      <c r="I451" s="27"/>
      <c r="K451" s="29"/>
      <c r="L451" s="29"/>
      <c r="M451" s="29"/>
      <c r="N451" s="2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</row>
    <row r="452" customFormat="false" ht="13.8" hidden="false" customHeight="false" outlineLevel="0" collapsed="false">
      <c r="A452" s="23" t="s">
        <v>661</v>
      </c>
      <c r="B452" s="31" t="s">
        <v>26</v>
      </c>
      <c r="C452" s="23" t="s">
        <v>662</v>
      </c>
      <c r="D452" s="25" t="s">
        <v>663</v>
      </c>
      <c r="E452" s="23" t="s">
        <v>19</v>
      </c>
      <c r="F452" s="26" t="n">
        <f aca="false">2.8*3</f>
        <v>8.4</v>
      </c>
      <c r="G452" s="27"/>
      <c r="H452" s="27"/>
      <c r="I452" s="27"/>
      <c r="K452" s="29"/>
      <c r="L452" s="29"/>
      <c r="M452" s="29"/>
      <c r="N452" s="2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</row>
    <row r="453" customFormat="false" ht="14.9" hidden="false" customHeight="false" outlineLevel="0" collapsed="false">
      <c r="A453" s="23" t="s">
        <v>664</v>
      </c>
      <c r="B453" s="24" t="s">
        <v>57</v>
      </c>
      <c r="C453" s="23" t="n">
        <v>90822</v>
      </c>
      <c r="D453" s="25" t="s">
        <v>665</v>
      </c>
      <c r="E453" s="23" t="s">
        <v>666</v>
      </c>
      <c r="F453" s="26" t="n">
        <v>4</v>
      </c>
      <c r="G453" s="27"/>
      <c r="H453" s="27"/>
      <c r="I453" s="27"/>
      <c r="K453" s="29"/>
      <c r="L453" s="29"/>
      <c r="M453" s="29"/>
      <c r="N453" s="2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</row>
    <row r="454" customFormat="false" ht="13.8" hidden="false" customHeight="false" outlineLevel="0" collapsed="false">
      <c r="A454" s="23" t="s">
        <v>667</v>
      </c>
      <c r="B454" s="31" t="s">
        <v>26</v>
      </c>
      <c r="C454" s="23" t="s">
        <v>668</v>
      </c>
      <c r="D454" s="25" t="s">
        <v>669</v>
      </c>
      <c r="E454" s="23" t="s">
        <v>19</v>
      </c>
      <c r="F454" s="26" t="n">
        <f aca="false">(1.25*2.1)*2</f>
        <v>5.25</v>
      </c>
      <c r="G454" s="27"/>
      <c r="H454" s="27"/>
      <c r="I454" s="27"/>
      <c r="K454" s="29"/>
      <c r="L454" s="29"/>
      <c r="M454" s="29"/>
      <c r="N454" s="2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</row>
    <row r="455" customFormat="false" ht="13.8" hidden="false" customHeight="false" outlineLevel="0" collapsed="false">
      <c r="A455" s="66" t="s">
        <v>670</v>
      </c>
      <c r="B455" s="66"/>
      <c r="C455" s="66"/>
      <c r="D455" s="66"/>
      <c r="E455" s="66"/>
      <c r="F455" s="66"/>
      <c r="G455" s="66"/>
      <c r="H455" s="66"/>
      <c r="I455" s="65"/>
      <c r="K455" s="29"/>
      <c r="L455" s="29"/>
      <c r="M455" s="29"/>
      <c r="N455" s="29"/>
    </row>
    <row r="456" customFormat="false" ht="13.8" hidden="false" customHeight="false" outlineLevel="0" collapsed="false">
      <c r="A456" s="23" t="s">
        <v>671</v>
      </c>
      <c r="B456" s="24" t="s">
        <v>57</v>
      </c>
      <c r="C456" s="23" t="n">
        <v>98524</v>
      </c>
      <c r="D456" s="25" t="s">
        <v>672</v>
      </c>
      <c r="E456" s="23" t="s">
        <v>19</v>
      </c>
      <c r="F456" s="26" t="n">
        <v>30</v>
      </c>
      <c r="G456" s="27"/>
      <c r="H456" s="27"/>
      <c r="I456" s="27"/>
      <c r="K456" s="29"/>
      <c r="L456" s="29"/>
      <c r="M456" s="29"/>
      <c r="N456" s="2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</row>
    <row r="457" customFormat="false" ht="21.6" hidden="false" customHeight="false" outlineLevel="0" collapsed="false">
      <c r="A457" s="23" t="s">
        <v>673</v>
      </c>
      <c r="B457" s="24" t="s">
        <v>57</v>
      </c>
      <c r="C457" s="23" t="n">
        <v>94272</v>
      </c>
      <c r="D457" s="25" t="s">
        <v>674</v>
      </c>
      <c r="E457" s="23" t="s">
        <v>24</v>
      </c>
      <c r="F457" s="26" t="n">
        <v>30</v>
      </c>
      <c r="G457" s="27"/>
      <c r="H457" s="27"/>
      <c r="I457" s="27"/>
      <c r="K457" s="29"/>
      <c r="L457" s="29"/>
      <c r="M457" s="29"/>
      <c r="N457" s="2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</row>
    <row r="458" customFormat="false" ht="13.8" hidden="false" customHeight="false" outlineLevel="0" collapsed="false">
      <c r="A458" s="23" t="s">
        <v>675</v>
      </c>
      <c r="B458" s="30" t="s">
        <v>21</v>
      </c>
      <c r="C458" s="23" t="s">
        <v>676</v>
      </c>
      <c r="D458" s="25" t="s">
        <v>677</v>
      </c>
      <c r="E458" s="23" t="s">
        <v>678</v>
      </c>
      <c r="F458" s="26" t="n">
        <f aca="false">100*2</f>
        <v>200</v>
      </c>
      <c r="G458" s="27"/>
      <c r="H458" s="27"/>
      <c r="I458" s="27"/>
      <c r="K458" s="29"/>
      <c r="L458" s="29"/>
      <c r="M458" s="29"/>
      <c r="N458" s="2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</row>
    <row r="459" customFormat="false" ht="13.8" hidden="false" customHeight="false" outlineLevel="0" collapsed="false">
      <c r="A459" s="32"/>
      <c r="B459" s="32"/>
      <c r="C459" s="32"/>
      <c r="D459" s="32"/>
      <c r="E459" s="32"/>
      <c r="F459" s="32"/>
      <c r="G459" s="33" t="s">
        <v>679</v>
      </c>
      <c r="H459" s="33"/>
      <c r="I459" s="75"/>
      <c r="K459" s="29"/>
      <c r="L459" s="29"/>
      <c r="M459" s="29"/>
      <c r="N459" s="29"/>
    </row>
    <row r="460" customFormat="false" ht="13.8" hidden="false" customHeight="false" outlineLevel="0" collapsed="false">
      <c r="A460" s="35"/>
      <c r="B460" s="35"/>
      <c r="C460" s="35"/>
      <c r="D460" s="35"/>
      <c r="E460" s="35"/>
      <c r="F460" s="35"/>
      <c r="G460" s="35"/>
      <c r="H460" s="35"/>
      <c r="I460" s="35"/>
      <c r="K460" s="29"/>
      <c r="L460" s="29"/>
      <c r="M460" s="29"/>
      <c r="N460" s="29"/>
    </row>
    <row r="461" customFormat="false" ht="13.8" hidden="false" customHeight="false" outlineLevel="0" collapsed="false">
      <c r="A461" s="20" t="n">
        <v>21</v>
      </c>
      <c r="B461" s="63" t="s">
        <v>680</v>
      </c>
      <c r="C461" s="63"/>
      <c r="D461" s="63"/>
      <c r="E461" s="63"/>
      <c r="F461" s="63"/>
      <c r="G461" s="63"/>
      <c r="H461" s="63"/>
      <c r="I461" s="22"/>
    </row>
    <row r="462" customFormat="false" ht="13.8" hidden="false" customHeight="false" outlineLevel="0" collapsed="false">
      <c r="A462" s="23" t="s">
        <v>682</v>
      </c>
      <c r="B462" s="24" t="s">
        <v>57</v>
      </c>
      <c r="C462" s="97" t="n">
        <v>93358</v>
      </c>
      <c r="D462" s="78" t="s">
        <v>684</v>
      </c>
      <c r="E462" s="48" t="s">
        <v>685</v>
      </c>
      <c r="F462" s="79" t="n">
        <v>28</v>
      </c>
      <c r="G462" s="27"/>
      <c r="H462" s="27"/>
      <c r="I462" s="27"/>
      <c r="K462" s="29"/>
      <c r="L462" s="29"/>
      <c r="M462" s="29"/>
      <c r="N462" s="2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</row>
    <row r="463" customFormat="false" ht="13.8" hidden="false" customHeight="false" outlineLevel="0" collapsed="false">
      <c r="A463" s="23" t="s">
        <v>686</v>
      </c>
      <c r="B463" s="24" t="s">
        <v>57</v>
      </c>
      <c r="C463" s="97" t="n">
        <v>2442</v>
      </c>
      <c r="D463" s="78" t="s">
        <v>688</v>
      </c>
      <c r="E463" s="48" t="s">
        <v>685</v>
      </c>
      <c r="F463" s="79" t="n">
        <v>21</v>
      </c>
      <c r="G463" s="27"/>
      <c r="H463" s="27"/>
      <c r="I463" s="27"/>
      <c r="K463" s="29"/>
      <c r="L463" s="29"/>
      <c r="M463" s="29"/>
      <c r="N463" s="2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</row>
    <row r="464" customFormat="false" ht="13.8" hidden="false" customHeight="false" outlineLevel="0" collapsed="false">
      <c r="A464" s="23" t="s">
        <v>689</v>
      </c>
      <c r="B464" s="31" t="s">
        <v>26</v>
      </c>
      <c r="C464" s="97" t="s">
        <v>810</v>
      </c>
      <c r="D464" s="78" t="s">
        <v>690</v>
      </c>
      <c r="E464" s="48" t="s">
        <v>49</v>
      </c>
      <c r="F464" s="79" t="n">
        <v>17.76</v>
      </c>
      <c r="G464" s="27"/>
      <c r="H464" s="27"/>
      <c r="I464" s="27"/>
      <c r="K464" s="29"/>
      <c r="L464" s="29"/>
      <c r="M464" s="29"/>
      <c r="N464" s="2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</row>
    <row r="465" customFormat="false" ht="13.8" hidden="false" customHeight="false" outlineLevel="0" collapsed="false">
      <c r="A465" s="23" t="s">
        <v>691</v>
      </c>
      <c r="B465" s="30" t="s">
        <v>21</v>
      </c>
      <c r="C465" s="98" t="s">
        <v>754</v>
      </c>
      <c r="D465" s="78" t="s">
        <v>692</v>
      </c>
      <c r="E465" s="48" t="s">
        <v>49</v>
      </c>
      <c r="F465" s="79" t="n">
        <v>17.76</v>
      </c>
      <c r="G465" s="27"/>
      <c r="H465" s="27"/>
      <c r="I465" s="27"/>
      <c r="K465" s="29"/>
      <c r="L465" s="29"/>
      <c r="M465" s="29"/>
      <c r="N465" s="2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</row>
    <row r="466" customFormat="false" ht="14.9" hidden="false" customHeight="false" outlineLevel="0" collapsed="false">
      <c r="A466" s="23" t="s">
        <v>693</v>
      </c>
      <c r="B466" s="31" t="s">
        <v>26</v>
      </c>
      <c r="C466" s="98" t="s">
        <v>811</v>
      </c>
      <c r="D466" s="78" t="s">
        <v>694</v>
      </c>
      <c r="E466" s="48" t="s">
        <v>24</v>
      </c>
      <c r="F466" s="79" t="n">
        <v>388</v>
      </c>
      <c r="G466" s="27"/>
      <c r="H466" s="27"/>
      <c r="I466" s="27"/>
      <c r="K466" s="29"/>
      <c r="L466" s="29"/>
      <c r="M466" s="29"/>
      <c r="N466" s="2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</row>
    <row r="467" customFormat="false" ht="13.8" hidden="false" customHeight="false" outlineLevel="0" collapsed="false">
      <c r="A467" s="23" t="s">
        <v>695</v>
      </c>
      <c r="B467" s="30" t="s">
        <v>21</v>
      </c>
      <c r="C467" s="98" t="s">
        <v>812</v>
      </c>
      <c r="D467" s="78" t="s">
        <v>696</v>
      </c>
      <c r="E467" s="48" t="s">
        <v>685</v>
      </c>
      <c r="F467" s="79" t="n">
        <v>1</v>
      </c>
      <c r="G467" s="27"/>
      <c r="H467" s="27"/>
      <c r="I467" s="27"/>
      <c r="K467" s="29"/>
      <c r="L467" s="29"/>
      <c r="M467" s="29"/>
      <c r="N467" s="2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</row>
    <row r="468" customFormat="false" ht="14.9" hidden="false" customHeight="false" outlineLevel="0" collapsed="false">
      <c r="A468" s="23" t="s">
        <v>697</v>
      </c>
      <c r="B468" s="30" t="s">
        <v>21</v>
      </c>
      <c r="C468" s="97" t="s">
        <v>813</v>
      </c>
      <c r="D468" s="78" t="s">
        <v>698</v>
      </c>
      <c r="E468" s="48" t="s">
        <v>685</v>
      </c>
      <c r="F468" s="79" t="n">
        <v>1</v>
      </c>
      <c r="G468" s="27"/>
      <c r="H468" s="27"/>
      <c r="I468" s="27"/>
      <c r="K468" s="29"/>
      <c r="L468" s="29"/>
      <c r="M468" s="29"/>
      <c r="N468" s="2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</row>
    <row r="469" customFormat="false" ht="13.8" hidden="false" customHeight="false" outlineLevel="0" collapsed="false">
      <c r="A469" s="23" t="s">
        <v>700</v>
      </c>
      <c r="B469" s="30" t="s">
        <v>21</v>
      </c>
      <c r="C469" s="97" t="s">
        <v>814</v>
      </c>
      <c r="D469" s="78" t="s">
        <v>701</v>
      </c>
      <c r="E469" s="48" t="s">
        <v>685</v>
      </c>
      <c r="F469" s="79" t="n">
        <v>24</v>
      </c>
      <c r="G469" s="27"/>
      <c r="H469" s="27"/>
      <c r="I469" s="27"/>
      <c r="K469" s="29"/>
      <c r="L469" s="29"/>
      <c r="M469" s="29"/>
      <c r="N469" s="2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</row>
    <row r="470" customFormat="false" ht="13.8" hidden="false" customHeight="false" outlineLevel="0" collapsed="false">
      <c r="A470" s="23" t="s">
        <v>702</v>
      </c>
      <c r="B470" s="30" t="s">
        <v>21</v>
      </c>
      <c r="C470" s="97" t="s">
        <v>815</v>
      </c>
      <c r="D470" s="78" t="s">
        <v>690</v>
      </c>
      <c r="E470" s="48" t="s">
        <v>49</v>
      </c>
      <c r="F470" s="79" t="n">
        <v>20.7</v>
      </c>
      <c r="G470" s="27"/>
      <c r="H470" s="27"/>
      <c r="I470" s="27"/>
      <c r="K470" s="29"/>
      <c r="L470" s="29"/>
      <c r="M470" s="29"/>
      <c r="N470" s="2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</row>
    <row r="471" customFormat="false" ht="13.8" hidden="false" customHeight="false" outlineLevel="0" collapsed="false">
      <c r="A471" s="23" t="s">
        <v>703</v>
      </c>
      <c r="B471" s="30" t="s">
        <v>21</v>
      </c>
      <c r="C471" s="97" t="s">
        <v>816</v>
      </c>
      <c r="D471" s="78" t="s">
        <v>692</v>
      </c>
      <c r="E471" s="48" t="s">
        <v>49</v>
      </c>
      <c r="F471" s="79" t="n">
        <v>20.7</v>
      </c>
      <c r="G471" s="27"/>
      <c r="H471" s="27"/>
      <c r="I471" s="27"/>
      <c r="K471" s="29"/>
      <c r="L471" s="29"/>
      <c r="M471" s="29"/>
      <c r="N471" s="2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</row>
    <row r="472" customFormat="false" ht="21.8" hidden="false" customHeight="false" outlineLevel="0" collapsed="false">
      <c r="A472" s="23" t="s">
        <v>704</v>
      </c>
      <c r="B472" s="31" t="s">
        <v>26</v>
      </c>
      <c r="C472" s="97" t="s">
        <v>817</v>
      </c>
      <c r="D472" s="82" t="s">
        <v>706</v>
      </c>
      <c r="E472" s="48" t="s">
        <v>24</v>
      </c>
      <c r="F472" s="79" t="n">
        <v>169</v>
      </c>
      <c r="G472" s="27"/>
      <c r="H472" s="27"/>
      <c r="I472" s="27"/>
      <c r="K472" s="29"/>
      <c r="L472" s="29"/>
      <c r="M472" s="29"/>
      <c r="N472" s="2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</row>
    <row r="473" customFormat="false" ht="14.9" hidden="false" customHeight="false" outlineLevel="0" collapsed="false">
      <c r="A473" s="23" t="s">
        <v>707</v>
      </c>
      <c r="B473" s="24" t="s">
        <v>57</v>
      </c>
      <c r="C473" s="23" t="n">
        <v>100578</v>
      </c>
      <c r="D473" s="78" t="s">
        <v>694</v>
      </c>
      <c r="E473" s="48" t="s">
        <v>24</v>
      </c>
      <c r="F473" s="79" t="n">
        <v>488</v>
      </c>
      <c r="G473" s="80"/>
      <c r="H473" s="27"/>
      <c r="I473" s="27"/>
    </row>
    <row r="474" customFormat="false" ht="14.9" hidden="false" customHeight="false" outlineLevel="0" collapsed="false">
      <c r="A474" s="23" t="s">
        <v>708</v>
      </c>
      <c r="B474" s="24" t="s">
        <v>17</v>
      </c>
      <c r="C474" s="23" t="n">
        <v>41196</v>
      </c>
      <c r="D474" s="78" t="s">
        <v>709</v>
      </c>
      <c r="E474" s="48" t="s">
        <v>24</v>
      </c>
      <c r="F474" s="79" t="n">
        <v>75</v>
      </c>
      <c r="G474" s="80"/>
      <c r="H474" s="27"/>
      <c r="I474" s="27"/>
    </row>
    <row r="475" customFormat="false" ht="14.9" hidden="false" customHeight="false" outlineLevel="0" collapsed="false">
      <c r="A475" s="23" t="s">
        <v>710</v>
      </c>
      <c r="B475" s="24" t="s">
        <v>57</v>
      </c>
      <c r="C475" s="23" t="n">
        <v>101636</v>
      </c>
      <c r="D475" s="78" t="s">
        <v>711</v>
      </c>
      <c r="E475" s="48" t="s">
        <v>685</v>
      </c>
      <c r="F475" s="79" t="n">
        <v>1</v>
      </c>
      <c r="G475" s="80"/>
      <c r="H475" s="27"/>
      <c r="I475" s="27"/>
    </row>
    <row r="476" customFormat="false" ht="14.9" hidden="false" customHeight="false" outlineLevel="0" collapsed="false">
      <c r="A476" s="23" t="s">
        <v>712</v>
      </c>
      <c r="B476" s="24" t="s">
        <v>57</v>
      </c>
      <c r="C476" s="23" t="n">
        <v>101658</v>
      </c>
      <c r="D476" s="78" t="s">
        <v>698</v>
      </c>
      <c r="E476" s="48" t="s">
        <v>685</v>
      </c>
      <c r="F476" s="79" t="n">
        <v>1</v>
      </c>
      <c r="G476" s="80"/>
      <c r="H476" s="27"/>
      <c r="I476" s="27"/>
    </row>
    <row r="477" customFormat="false" ht="13.8" hidden="false" customHeight="false" outlineLevel="0" collapsed="false">
      <c r="A477" s="23" t="s">
        <v>713</v>
      </c>
      <c r="B477" s="30" t="s">
        <v>21</v>
      </c>
      <c r="C477" s="23" t="s">
        <v>733</v>
      </c>
      <c r="D477" s="78" t="s">
        <v>696</v>
      </c>
      <c r="E477" s="48" t="s">
        <v>685</v>
      </c>
      <c r="F477" s="79" t="n">
        <v>1</v>
      </c>
      <c r="G477" s="80"/>
      <c r="H477" s="27"/>
      <c r="I477" s="27"/>
    </row>
    <row r="478" customFormat="false" ht="14.9" hidden="false" customHeight="false" outlineLevel="0" collapsed="false">
      <c r="A478" s="23" t="s">
        <v>715</v>
      </c>
      <c r="B478" s="30" t="s">
        <v>21</v>
      </c>
      <c r="C478" s="23" t="s">
        <v>687</v>
      </c>
      <c r="D478" s="78" t="s">
        <v>716</v>
      </c>
      <c r="E478" s="48" t="s">
        <v>685</v>
      </c>
      <c r="F478" s="79" t="n">
        <v>11</v>
      </c>
      <c r="G478" s="80"/>
      <c r="H478" s="27"/>
      <c r="I478" s="27"/>
    </row>
    <row r="479" customFormat="false" ht="13.8" hidden="false" customHeight="false" outlineLevel="0" collapsed="false">
      <c r="A479" s="23" t="s">
        <v>717</v>
      </c>
      <c r="B479" s="24" t="s">
        <v>57</v>
      </c>
      <c r="C479" s="23" t="n">
        <v>93358</v>
      </c>
      <c r="D479" s="78" t="s">
        <v>690</v>
      </c>
      <c r="E479" s="48" t="s">
        <v>49</v>
      </c>
      <c r="F479" s="79" t="n">
        <v>11.03</v>
      </c>
      <c r="G479" s="80"/>
      <c r="H479" s="27"/>
      <c r="I479" s="27"/>
    </row>
    <row r="480" customFormat="false" ht="13.8" hidden="false" customHeight="false" outlineLevel="0" collapsed="false">
      <c r="A480" s="23" t="s">
        <v>718</v>
      </c>
      <c r="B480" s="24" t="s">
        <v>57</v>
      </c>
      <c r="C480" s="23" t="n">
        <v>104737</v>
      </c>
      <c r="D480" s="78" t="s">
        <v>692</v>
      </c>
      <c r="E480" s="48" t="s">
        <v>49</v>
      </c>
      <c r="F480" s="79" t="n">
        <v>11.03</v>
      </c>
      <c r="G480" s="80"/>
      <c r="H480" s="27"/>
      <c r="I480" s="27"/>
    </row>
    <row r="481" customFormat="false" ht="14.9" hidden="false" customHeight="false" outlineLevel="0" collapsed="false">
      <c r="A481" s="23" t="s">
        <v>719</v>
      </c>
      <c r="B481" s="24" t="s">
        <v>17</v>
      </c>
      <c r="C481" s="23" t="n">
        <v>2442</v>
      </c>
      <c r="D481" s="78" t="s">
        <v>720</v>
      </c>
      <c r="E481" s="48" t="s">
        <v>49</v>
      </c>
      <c r="F481" s="79" t="n">
        <v>0.26</v>
      </c>
      <c r="G481" s="80"/>
      <c r="H481" s="27"/>
      <c r="I481" s="27"/>
    </row>
    <row r="482" customFormat="false" ht="21.8" hidden="false" customHeight="false" outlineLevel="0" collapsed="false">
      <c r="A482" s="23" t="s">
        <v>721</v>
      </c>
      <c r="B482" s="24" t="s">
        <v>57</v>
      </c>
      <c r="C482" s="23" t="n">
        <v>91929</v>
      </c>
      <c r="D482" s="82" t="s">
        <v>706</v>
      </c>
      <c r="E482" s="48" t="s">
        <v>24</v>
      </c>
      <c r="F482" s="79" t="n">
        <v>90</v>
      </c>
      <c r="G482" s="80"/>
      <c r="H482" s="27"/>
      <c r="I482" s="27"/>
    </row>
    <row r="483" customFormat="false" ht="14.9" hidden="false" customHeight="false" outlineLevel="0" collapsed="false">
      <c r="A483" s="23" t="s">
        <v>722</v>
      </c>
      <c r="B483" s="24" t="s">
        <v>57</v>
      </c>
      <c r="C483" s="23" t="n">
        <v>93008</v>
      </c>
      <c r="D483" s="78" t="s">
        <v>694</v>
      </c>
      <c r="E483" s="48" t="s">
        <v>24</v>
      </c>
      <c r="F483" s="79" t="n">
        <v>180</v>
      </c>
      <c r="G483" s="80"/>
      <c r="H483" s="27"/>
      <c r="I483" s="27"/>
    </row>
    <row r="484" customFormat="false" ht="13.8" hidden="false" customHeight="false" outlineLevel="0" collapsed="false">
      <c r="A484" s="23" t="s">
        <v>723</v>
      </c>
      <c r="B484" s="30" t="s">
        <v>21</v>
      </c>
      <c r="C484" s="23" t="s">
        <v>764</v>
      </c>
      <c r="D484" s="78" t="s">
        <v>725</v>
      </c>
      <c r="E484" s="48" t="s">
        <v>685</v>
      </c>
      <c r="F484" s="79" t="n">
        <v>1</v>
      </c>
      <c r="G484" s="80"/>
      <c r="H484" s="27"/>
      <c r="I484" s="27"/>
    </row>
    <row r="485" customFormat="false" ht="13.8" hidden="false" customHeight="false" outlineLevel="0" collapsed="false">
      <c r="A485" s="23" t="s">
        <v>726</v>
      </c>
      <c r="B485" s="24" t="s">
        <v>57</v>
      </c>
      <c r="C485" s="98" t="n">
        <v>101632</v>
      </c>
      <c r="D485" s="78" t="s">
        <v>727</v>
      </c>
      <c r="E485" s="48" t="s">
        <v>685</v>
      </c>
      <c r="F485" s="79" t="n">
        <v>22</v>
      </c>
      <c r="G485" s="80"/>
      <c r="H485" s="27"/>
      <c r="I485" s="27"/>
    </row>
    <row r="486" customFormat="false" ht="14.9" hidden="false" customHeight="false" outlineLevel="0" collapsed="false">
      <c r="A486" s="23" t="s">
        <v>728</v>
      </c>
      <c r="B486" s="24" t="s">
        <v>57</v>
      </c>
      <c r="C486" s="98" t="n">
        <v>93672</v>
      </c>
      <c r="D486" s="78" t="s">
        <v>698</v>
      </c>
      <c r="E486" s="48" t="s">
        <v>685</v>
      </c>
      <c r="F486" s="79" t="n">
        <v>1</v>
      </c>
      <c r="G486" s="80"/>
      <c r="H486" s="27"/>
      <c r="I486" s="27"/>
    </row>
    <row r="487" customFormat="false" ht="14.9" hidden="false" customHeight="false" outlineLevel="0" collapsed="false">
      <c r="A487" s="23" t="s">
        <v>729</v>
      </c>
      <c r="B487" s="24" t="s">
        <v>57</v>
      </c>
      <c r="C487" s="23" t="n">
        <v>101903</v>
      </c>
      <c r="D487" s="78" t="s">
        <v>711</v>
      </c>
      <c r="E487" s="48" t="s">
        <v>685</v>
      </c>
      <c r="F487" s="79" t="n">
        <v>1</v>
      </c>
      <c r="G487" s="80"/>
      <c r="H487" s="27"/>
      <c r="I487" s="27"/>
    </row>
    <row r="488" customFormat="false" ht="13.8" hidden="false" customHeight="false" outlineLevel="0" collapsed="false">
      <c r="A488" s="23" t="s">
        <v>730</v>
      </c>
      <c r="B488" s="24" t="s">
        <v>57</v>
      </c>
      <c r="C488" s="23" t="n">
        <v>100619</v>
      </c>
      <c r="D488" s="78" t="s">
        <v>696</v>
      </c>
      <c r="E488" s="48" t="s">
        <v>685</v>
      </c>
      <c r="F488" s="79" t="n">
        <v>1</v>
      </c>
      <c r="G488" s="80"/>
      <c r="H488" s="27"/>
      <c r="I488" s="27"/>
    </row>
    <row r="489" customFormat="false" ht="13.8" hidden="false" customHeight="false" outlineLevel="0" collapsed="false">
      <c r="A489" s="23" t="s">
        <v>732</v>
      </c>
      <c r="B489" s="24" t="s">
        <v>57</v>
      </c>
      <c r="C489" s="23" t="n">
        <v>93358</v>
      </c>
      <c r="D489" s="78" t="s">
        <v>734</v>
      </c>
      <c r="E489" s="48" t="s">
        <v>685</v>
      </c>
      <c r="F489" s="79" t="n">
        <v>27</v>
      </c>
      <c r="G489" s="80"/>
      <c r="H489" s="27"/>
      <c r="I489" s="27"/>
    </row>
    <row r="490" customFormat="false" ht="13.8" hidden="false" customHeight="false" outlineLevel="0" collapsed="false">
      <c r="A490" s="23" t="s">
        <v>735</v>
      </c>
      <c r="B490" s="24" t="s">
        <v>57</v>
      </c>
      <c r="C490" s="23" t="n">
        <v>104737</v>
      </c>
      <c r="D490" s="78" t="s">
        <v>688</v>
      </c>
      <c r="E490" s="48" t="s">
        <v>685</v>
      </c>
      <c r="F490" s="79" t="n">
        <v>12</v>
      </c>
      <c r="G490" s="80"/>
      <c r="H490" s="27"/>
      <c r="I490" s="27"/>
    </row>
    <row r="491" customFormat="false" ht="14.9" hidden="false" customHeight="false" outlineLevel="0" collapsed="false">
      <c r="A491" s="23" t="s">
        <v>736</v>
      </c>
      <c r="B491" s="24" t="s">
        <v>57</v>
      </c>
      <c r="C491" s="23" t="n">
        <v>94990</v>
      </c>
      <c r="D491" s="78" t="s">
        <v>711</v>
      </c>
      <c r="E491" s="48" t="s">
        <v>685</v>
      </c>
      <c r="F491" s="79" t="n">
        <v>1</v>
      </c>
      <c r="G491" s="80"/>
      <c r="H491" s="27"/>
      <c r="I491" s="27"/>
    </row>
    <row r="492" customFormat="false" ht="13.8" hidden="false" customHeight="false" outlineLevel="0" collapsed="false">
      <c r="A492" s="23" t="s">
        <v>737</v>
      </c>
      <c r="B492" s="24" t="s">
        <v>17</v>
      </c>
      <c r="C492" s="23" t="n">
        <v>2442</v>
      </c>
      <c r="D492" s="78" t="s">
        <v>739</v>
      </c>
      <c r="E492" s="48" t="s">
        <v>685</v>
      </c>
      <c r="F492" s="79" t="n">
        <v>12</v>
      </c>
      <c r="G492" s="80"/>
      <c r="H492" s="27"/>
      <c r="I492" s="27"/>
    </row>
    <row r="493" customFormat="false" ht="13.8" hidden="false" customHeight="false" outlineLevel="0" collapsed="false">
      <c r="A493" s="23" t="s">
        <v>740</v>
      </c>
      <c r="B493" s="24" t="s">
        <v>57</v>
      </c>
      <c r="C493" s="23" t="n">
        <v>91929</v>
      </c>
      <c r="D493" s="78" t="s">
        <v>742</v>
      </c>
      <c r="E493" s="48" t="s">
        <v>685</v>
      </c>
      <c r="F493" s="79" t="n">
        <v>12</v>
      </c>
      <c r="G493" s="80"/>
      <c r="H493" s="27"/>
      <c r="I493" s="27"/>
    </row>
    <row r="494" customFormat="false" ht="13.8" hidden="false" customHeight="false" outlineLevel="0" collapsed="false">
      <c r="A494" s="23" t="s">
        <v>743</v>
      </c>
      <c r="B494" s="30" t="s">
        <v>21</v>
      </c>
      <c r="C494" s="23" t="s">
        <v>724</v>
      </c>
      <c r="D494" s="78" t="s">
        <v>696</v>
      </c>
      <c r="E494" s="48" t="s">
        <v>685</v>
      </c>
      <c r="F494" s="79" t="n">
        <v>4</v>
      </c>
      <c r="G494" s="80"/>
      <c r="H494" s="27"/>
      <c r="I494" s="27"/>
    </row>
    <row r="495" customFormat="false" ht="14.9" hidden="false" customHeight="false" outlineLevel="0" collapsed="false">
      <c r="A495" s="23" t="s">
        <v>745</v>
      </c>
      <c r="B495" s="54" t="s">
        <v>818</v>
      </c>
      <c r="C495" s="23" t="s">
        <v>683</v>
      </c>
      <c r="D495" s="78" t="s">
        <v>734</v>
      </c>
      <c r="E495" s="48" t="s">
        <v>685</v>
      </c>
      <c r="F495" s="79" t="n">
        <v>37</v>
      </c>
      <c r="G495" s="80"/>
      <c r="H495" s="27"/>
      <c r="I495" s="27"/>
    </row>
    <row r="496" customFormat="false" ht="13.8" hidden="false" customHeight="false" outlineLevel="0" collapsed="false">
      <c r="A496" s="23" t="s">
        <v>746</v>
      </c>
      <c r="B496" s="24" t="s">
        <v>57</v>
      </c>
      <c r="C496" s="23" t="n">
        <v>93672</v>
      </c>
      <c r="D496" s="78" t="s">
        <v>688</v>
      </c>
      <c r="E496" s="48" t="s">
        <v>685</v>
      </c>
      <c r="F496" s="79" t="n">
        <v>37</v>
      </c>
      <c r="G496" s="80"/>
      <c r="H496" s="27"/>
      <c r="I496" s="27"/>
    </row>
    <row r="497" customFormat="false" ht="13.8" hidden="false" customHeight="false" outlineLevel="0" collapsed="false">
      <c r="A497" s="23" t="s">
        <v>747</v>
      </c>
      <c r="B497" s="24" t="s">
        <v>57</v>
      </c>
      <c r="C497" s="23" t="n">
        <v>101632</v>
      </c>
      <c r="D497" s="78" t="s">
        <v>684</v>
      </c>
      <c r="E497" s="48" t="s">
        <v>685</v>
      </c>
      <c r="F497" s="79" t="n">
        <v>37</v>
      </c>
      <c r="G497" s="80"/>
      <c r="H497" s="27"/>
      <c r="I497" s="27"/>
    </row>
    <row r="498" customFormat="false" ht="13.8" hidden="false" customHeight="false" outlineLevel="0" collapsed="false">
      <c r="A498" s="23" t="s">
        <v>748</v>
      </c>
      <c r="B498" s="24" t="s">
        <v>57</v>
      </c>
      <c r="C498" s="23" t="n">
        <v>101903</v>
      </c>
      <c r="D498" s="78" t="s">
        <v>696</v>
      </c>
      <c r="E498" s="48" t="s">
        <v>685</v>
      </c>
      <c r="F498" s="79" t="n">
        <v>2</v>
      </c>
      <c r="G498" s="80"/>
      <c r="H498" s="27"/>
      <c r="I498" s="27"/>
    </row>
    <row r="499" customFormat="false" ht="13.8" hidden="false" customHeight="false" outlineLevel="0" collapsed="false">
      <c r="A499" s="23" t="s">
        <v>750</v>
      </c>
      <c r="B499" s="30" t="s">
        <v>21</v>
      </c>
      <c r="C499" s="23" t="s">
        <v>733</v>
      </c>
      <c r="D499" s="78" t="s">
        <v>690</v>
      </c>
      <c r="E499" s="48" t="s">
        <v>49</v>
      </c>
      <c r="F499" s="79" t="n">
        <v>5.51</v>
      </c>
      <c r="G499" s="80"/>
      <c r="H499" s="27"/>
      <c r="I499" s="27"/>
    </row>
    <row r="500" customFormat="false" ht="21.8" hidden="false" customHeight="false" outlineLevel="0" collapsed="false">
      <c r="A500" s="23" t="s">
        <v>751</v>
      </c>
      <c r="B500" s="30" t="s">
        <v>21</v>
      </c>
      <c r="C500" s="23" t="s">
        <v>687</v>
      </c>
      <c r="D500" s="82" t="s">
        <v>706</v>
      </c>
      <c r="E500" s="48" t="s">
        <v>24</v>
      </c>
      <c r="F500" s="79" t="n">
        <v>55</v>
      </c>
      <c r="G500" s="80"/>
      <c r="H500" s="27"/>
      <c r="I500" s="27"/>
    </row>
    <row r="501" customFormat="false" ht="13.8" hidden="false" customHeight="false" outlineLevel="0" collapsed="false">
      <c r="A501" s="23" t="s">
        <v>752</v>
      </c>
      <c r="B501" s="24" t="s">
        <v>57</v>
      </c>
      <c r="C501" s="23" t="n">
        <v>101632</v>
      </c>
      <c r="D501" s="78" t="s">
        <v>692</v>
      </c>
      <c r="E501" s="48" t="s">
        <v>49</v>
      </c>
      <c r="F501" s="79" t="n">
        <v>5.51</v>
      </c>
      <c r="G501" s="80"/>
      <c r="H501" s="27"/>
      <c r="I501" s="27"/>
    </row>
    <row r="502" customFormat="false" ht="13.8" hidden="false" customHeight="false" outlineLevel="0" collapsed="false">
      <c r="A502" s="23" t="s">
        <v>753</v>
      </c>
      <c r="B502" s="24" t="s">
        <v>57</v>
      </c>
      <c r="C502" s="23" t="n">
        <v>101640</v>
      </c>
      <c r="D502" s="78" t="s">
        <v>755</v>
      </c>
      <c r="E502" s="48" t="s">
        <v>685</v>
      </c>
      <c r="F502" s="79" t="n">
        <v>2</v>
      </c>
      <c r="G502" s="80"/>
      <c r="H502" s="27"/>
      <c r="I502" s="27"/>
    </row>
    <row r="503" customFormat="false" ht="15.6" hidden="false" customHeight="false" outlineLevel="0" collapsed="false">
      <c r="A503" s="23" t="s">
        <v>756</v>
      </c>
      <c r="B503" s="24" t="s">
        <v>57</v>
      </c>
      <c r="C503" s="23" t="n">
        <v>101626</v>
      </c>
      <c r="D503" s="82" t="s">
        <v>758</v>
      </c>
      <c r="E503" s="48" t="s">
        <v>685</v>
      </c>
      <c r="F503" s="79" t="n">
        <v>2</v>
      </c>
      <c r="G503" s="80"/>
      <c r="H503" s="27"/>
      <c r="I503" s="27"/>
    </row>
    <row r="504" customFormat="false" ht="15.6" hidden="false" customHeight="false" outlineLevel="0" collapsed="false">
      <c r="A504" s="23" t="s">
        <v>759</v>
      </c>
      <c r="B504" s="24" t="s">
        <v>57</v>
      </c>
      <c r="C504" s="23" t="n">
        <v>101903</v>
      </c>
      <c r="D504" s="82" t="s">
        <v>761</v>
      </c>
      <c r="E504" s="48" t="s">
        <v>685</v>
      </c>
      <c r="F504" s="79" t="n">
        <v>4</v>
      </c>
      <c r="G504" s="80"/>
      <c r="H504" s="27"/>
      <c r="I504" s="27"/>
    </row>
    <row r="505" customFormat="false" ht="14.9" hidden="false" customHeight="false" outlineLevel="0" collapsed="false">
      <c r="A505" s="23" t="s">
        <v>762</v>
      </c>
      <c r="B505" s="30" t="s">
        <v>21</v>
      </c>
      <c r="C505" s="23" t="s">
        <v>733</v>
      </c>
      <c r="D505" s="78" t="s">
        <v>694</v>
      </c>
      <c r="E505" s="48" t="s">
        <v>24</v>
      </c>
      <c r="F505" s="79" t="n">
        <v>135</v>
      </c>
      <c r="G505" s="80"/>
      <c r="H505" s="27"/>
      <c r="I505" s="27"/>
    </row>
    <row r="506" customFormat="false" ht="13.8" hidden="false" customHeight="false" outlineLevel="0" collapsed="false">
      <c r="A506" s="23" t="s">
        <v>763</v>
      </c>
      <c r="B506" s="30" t="s">
        <v>21</v>
      </c>
      <c r="C506" s="23" t="s">
        <v>687</v>
      </c>
      <c r="D506" s="78" t="s">
        <v>765</v>
      </c>
      <c r="E506" s="48" t="s">
        <v>685</v>
      </c>
      <c r="F506" s="79" t="n">
        <v>2</v>
      </c>
      <c r="G506" s="80"/>
      <c r="H506" s="27"/>
      <c r="I506" s="27"/>
    </row>
    <row r="507" customFormat="false" ht="14.9" hidden="false" customHeight="false" outlineLevel="0" collapsed="false">
      <c r="A507" s="23" t="s">
        <v>766</v>
      </c>
      <c r="B507" s="54" t="s">
        <v>818</v>
      </c>
      <c r="C507" s="23" t="s">
        <v>683</v>
      </c>
      <c r="D507" s="78" t="s">
        <v>767</v>
      </c>
      <c r="E507" s="48" t="s">
        <v>685</v>
      </c>
      <c r="F507" s="79" t="n">
        <v>2</v>
      </c>
      <c r="G507" s="80"/>
      <c r="H507" s="27"/>
      <c r="I507" s="27"/>
    </row>
    <row r="508" customFormat="false" ht="15.6" hidden="false" customHeight="false" outlineLevel="0" collapsed="false">
      <c r="A508" s="23" t="s">
        <v>769</v>
      </c>
      <c r="B508" s="24" t="s">
        <v>57</v>
      </c>
      <c r="C508" s="23" t="n">
        <v>101903</v>
      </c>
      <c r="D508" s="82" t="s">
        <v>771</v>
      </c>
      <c r="E508" s="81" t="s">
        <v>39</v>
      </c>
      <c r="F508" s="85" t="n">
        <v>4</v>
      </c>
      <c r="G508" s="80"/>
      <c r="H508" s="27"/>
      <c r="I508" s="27"/>
    </row>
    <row r="509" customFormat="false" ht="15.6" hidden="false" customHeight="false" outlineLevel="0" collapsed="false">
      <c r="A509" s="23" t="s">
        <v>772</v>
      </c>
      <c r="B509" s="24" t="s">
        <v>57</v>
      </c>
      <c r="C509" s="23" t="n">
        <v>100578</v>
      </c>
      <c r="D509" s="82" t="s">
        <v>761</v>
      </c>
      <c r="E509" s="81" t="s">
        <v>39</v>
      </c>
      <c r="F509" s="85" t="n">
        <v>4</v>
      </c>
      <c r="G509" s="80"/>
      <c r="H509" s="27"/>
      <c r="I509" s="27"/>
    </row>
    <row r="510" customFormat="false" ht="15.6" hidden="false" customHeight="false" outlineLevel="0" collapsed="false">
      <c r="A510" s="23" t="s">
        <v>773</v>
      </c>
      <c r="B510" s="24" t="s">
        <v>17</v>
      </c>
      <c r="C510" s="23" t="n">
        <v>5038</v>
      </c>
      <c r="D510" s="82" t="s">
        <v>758</v>
      </c>
      <c r="E510" s="81" t="s">
        <v>39</v>
      </c>
      <c r="F510" s="85" t="n">
        <v>10</v>
      </c>
      <c r="G510" s="80"/>
      <c r="H510" s="27"/>
      <c r="I510" s="27"/>
    </row>
    <row r="511" customFormat="false" ht="21.8" hidden="false" customHeight="false" outlineLevel="0" collapsed="false">
      <c r="A511" s="23" t="s">
        <v>774</v>
      </c>
      <c r="B511" s="30" t="s">
        <v>21</v>
      </c>
      <c r="C511" s="23" t="s">
        <v>687</v>
      </c>
      <c r="D511" s="82" t="s">
        <v>775</v>
      </c>
      <c r="E511" s="81" t="s">
        <v>39</v>
      </c>
      <c r="F511" s="85" t="n">
        <v>5</v>
      </c>
      <c r="G511" s="80"/>
      <c r="H511" s="27"/>
      <c r="I511" s="27"/>
    </row>
    <row r="512" customFormat="false" ht="21.8" hidden="false" customHeight="false" outlineLevel="0" collapsed="false">
      <c r="A512" s="23" t="s">
        <v>776</v>
      </c>
      <c r="B512" s="24" t="s">
        <v>57</v>
      </c>
      <c r="C512" s="23" t="n">
        <v>101636</v>
      </c>
      <c r="D512" s="82" t="s">
        <v>706</v>
      </c>
      <c r="E512" s="81" t="s">
        <v>24</v>
      </c>
      <c r="F512" s="85" t="n">
        <f aca="false">((2.4+2.8+1.1+2.35+1.5+1.5+2.1+2.2+1.5+4.15+1.8+1+1+5.3+4.7+2.4+3.75+2+2+2.4+3.2+1.65+1.5+1.65+1)+(6*1.7))*1.25</f>
        <v>83.9375</v>
      </c>
      <c r="G512" s="80"/>
      <c r="H512" s="27"/>
      <c r="I512" s="27"/>
    </row>
    <row r="513" customFormat="false" ht="21.8" hidden="false" customHeight="false" outlineLevel="0" collapsed="false">
      <c r="A513" s="23" t="s">
        <v>777</v>
      </c>
      <c r="B513" s="24" t="s">
        <v>57</v>
      </c>
      <c r="C513" s="23" t="n">
        <v>101658</v>
      </c>
      <c r="D513" s="82" t="s">
        <v>778</v>
      </c>
      <c r="E513" s="81" t="s">
        <v>24</v>
      </c>
      <c r="F513" s="85" t="n">
        <f aca="false">(21.35+29.65+21.6+64.35+32.55+10.2)*2.25</f>
        <v>404.325</v>
      </c>
      <c r="G513" s="80"/>
      <c r="H513" s="27"/>
      <c r="I513" s="27"/>
    </row>
    <row r="514" customFormat="false" ht="13.8" hidden="false" customHeight="false" outlineLevel="0" collapsed="false">
      <c r="A514" s="32"/>
      <c r="B514" s="32"/>
      <c r="C514" s="32"/>
      <c r="D514" s="32"/>
      <c r="E514" s="32"/>
      <c r="F514" s="32"/>
      <c r="G514" s="33" t="s">
        <v>779</v>
      </c>
      <c r="H514" s="33"/>
      <c r="I514" s="75"/>
      <c r="K514" s="29"/>
      <c r="L514" s="29"/>
      <c r="M514" s="29"/>
      <c r="N514" s="29"/>
    </row>
    <row r="515" customFormat="false" ht="13.8" hidden="false" customHeight="false" outlineLevel="0" collapsed="false">
      <c r="A515" s="35"/>
      <c r="B515" s="35"/>
      <c r="C515" s="35"/>
      <c r="D515" s="35"/>
      <c r="E515" s="35"/>
      <c r="F515" s="35"/>
      <c r="G515" s="35"/>
      <c r="H515" s="35"/>
      <c r="I515" s="35"/>
      <c r="K515" s="29"/>
      <c r="L515" s="29"/>
      <c r="M515" s="29"/>
      <c r="N515" s="29"/>
    </row>
    <row r="516" customFormat="false" ht="13.8" hidden="false" customHeight="false" outlineLevel="0" collapsed="false">
      <c r="A516" s="20" t="n">
        <v>22</v>
      </c>
      <c r="B516" s="63" t="s">
        <v>780</v>
      </c>
      <c r="C516" s="63"/>
      <c r="D516" s="63"/>
      <c r="E516" s="63"/>
      <c r="F516" s="63"/>
      <c r="G516" s="63"/>
      <c r="H516" s="63"/>
      <c r="I516" s="63"/>
    </row>
    <row r="517" customFormat="false" ht="21.6" hidden="false" customHeight="false" outlineLevel="0" collapsed="false">
      <c r="A517" s="23" t="s">
        <v>781</v>
      </c>
      <c r="B517" s="31" t="s">
        <v>26</v>
      </c>
      <c r="C517" s="23" t="s">
        <v>47</v>
      </c>
      <c r="D517" s="25" t="s">
        <v>48</v>
      </c>
      <c r="E517" s="23" t="s">
        <v>49</v>
      </c>
      <c r="F517" s="26" t="n">
        <f aca="false">SUM(10.62*18.55)*2*0.2</f>
        <v>78.8004</v>
      </c>
      <c r="G517" s="40"/>
      <c r="H517" s="37"/>
      <c r="I517" s="37"/>
    </row>
    <row r="518" customFormat="false" ht="13.8" hidden="false" customHeight="false" outlineLevel="0" collapsed="false">
      <c r="A518" s="23" t="s">
        <v>782</v>
      </c>
      <c r="B518" s="31" t="s">
        <v>26</v>
      </c>
      <c r="C518" s="23" t="s">
        <v>51</v>
      </c>
      <c r="D518" s="41" t="s">
        <v>52</v>
      </c>
      <c r="E518" s="23" t="s">
        <v>49</v>
      </c>
      <c r="F518" s="26" t="n">
        <f aca="false">SUM(10.62*18.55)*2*0.2</f>
        <v>78.8004</v>
      </c>
      <c r="G518" s="37"/>
      <c r="H518" s="37"/>
      <c r="I518" s="37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</row>
    <row r="519" customFormat="false" ht="21.6" hidden="false" customHeight="false" outlineLevel="0" collapsed="false">
      <c r="A519" s="23" t="s">
        <v>783</v>
      </c>
      <c r="B519" s="24" t="s">
        <v>57</v>
      </c>
      <c r="C519" s="23" t="n">
        <v>102690</v>
      </c>
      <c r="D519" s="41" t="s">
        <v>784</v>
      </c>
      <c r="E519" s="23" t="s">
        <v>24</v>
      </c>
      <c r="F519" s="36" t="n">
        <v>94.32</v>
      </c>
      <c r="G519" s="37"/>
      <c r="H519" s="37"/>
      <c r="I519" s="37"/>
    </row>
    <row r="520" customFormat="false" ht="13.8" hidden="false" customHeight="false" outlineLevel="0" collapsed="false">
      <c r="A520" s="23" t="s">
        <v>785</v>
      </c>
      <c r="B520" s="24" t="s">
        <v>57</v>
      </c>
      <c r="C520" s="23" t="n">
        <v>93358</v>
      </c>
      <c r="D520" s="41" t="s">
        <v>786</v>
      </c>
      <c r="E520" s="23" t="s">
        <v>24</v>
      </c>
      <c r="F520" s="36" t="n">
        <v>8</v>
      </c>
      <c r="G520" s="37"/>
      <c r="H520" s="37"/>
      <c r="I520" s="37"/>
    </row>
    <row r="521" customFormat="false" ht="13.8" hidden="false" customHeight="false" outlineLevel="0" collapsed="false">
      <c r="A521" s="23" t="s">
        <v>787</v>
      </c>
      <c r="B521" s="24" t="s">
        <v>57</v>
      </c>
      <c r="C521" s="23" t="n">
        <v>102719</v>
      </c>
      <c r="D521" s="41" t="s">
        <v>788</v>
      </c>
      <c r="E521" s="23" t="s">
        <v>49</v>
      </c>
      <c r="F521" s="36" t="n">
        <v>41.8</v>
      </c>
      <c r="G521" s="37"/>
      <c r="H521" s="37"/>
      <c r="I521" s="37"/>
    </row>
    <row r="522" customFormat="false" ht="14.9" hidden="false" customHeight="false" outlineLevel="0" collapsed="false">
      <c r="A522" s="23" t="s">
        <v>789</v>
      </c>
      <c r="B522" s="24" t="s">
        <v>57</v>
      </c>
      <c r="C522" s="23" t="n">
        <v>102712</v>
      </c>
      <c r="D522" s="41" t="s">
        <v>790</v>
      </c>
      <c r="E522" s="23" t="s">
        <v>19</v>
      </c>
      <c r="F522" s="36" t="n">
        <v>418</v>
      </c>
      <c r="G522" s="37"/>
      <c r="H522" s="37"/>
      <c r="I522" s="37"/>
    </row>
    <row r="523" customFormat="false" ht="13.8" hidden="false" customHeight="false" outlineLevel="0" collapsed="false">
      <c r="A523" s="23" t="s">
        <v>791</v>
      </c>
      <c r="B523" s="24" t="s">
        <v>57</v>
      </c>
      <c r="C523" s="23" t="n">
        <v>102718</v>
      </c>
      <c r="D523" s="41" t="s">
        <v>792</v>
      </c>
      <c r="E523" s="23" t="s">
        <v>49</v>
      </c>
      <c r="F523" s="36" t="n">
        <v>125.4</v>
      </c>
      <c r="G523" s="37"/>
      <c r="H523" s="37"/>
      <c r="I523" s="37"/>
    </row>
    <row r="524" customFormat="false" ht="13.8" hidden="false" customHeight="false" outlineLevel="0" collapsed="false">
      <c r="A524" s="87"/>
      <c r="B524" s="87"/>
      <c r="C524" s="87"/>
      <c r="D524" s="87"/>
      <c r="E524" s="87"/>
      <c r="F524" s="87"/>
      <c r="G524" s="33" t="s">
        <v>793</v>
      </c>
      <c r="H524" s="33"/>
      <c r="I524" s="75"/>
    </row>
    <row r="525" customFormat="false" ht="13.8" hidden="false" customHeight="false" outlineLevel="0" collapsed="false">
      <c r="A525" s="87"/>
      <c r="B525" s="87"/>
      <c r="C525" s="87"/>
      <c r="D525" s="87"/>
      <c r="E525" s="87"/>
      <c r="F525" s="87"/>
      <c r="G525" s="88" t="s">
        <v>819</v>
      </c>
      <c r="H525" s="88"/>
      <c r="I525" s="89"/>
      <c r="J525" s="29"/>
      <c r="K525" s="29"/>
      <c r="L525" s="29"/>
      <c r="M525" s="29"/>
      <c r="N525" s="29"/>
    </row>
    <row r="526" customFormat="false" ht="13.8" hidden="false" customHeight="false" outlineLevel="0" collapsed="false">
      <c r="A526" s="91"/>
      <c r="B526" s="91"/>
      <c r="C526" s="91"/>
      <c r="D526" s="92"/>
      <c r="E526" s="91"/>
      <c r="F526" s="93"/>
      <c r="G526" s="91"/>
      <c r="H526" s="91"/>
      <c r="I526" s="94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1">
    <mergeCell ref="A1:I1"/>
    <mergeCell ref="A2:I2"/>
    <mergeCell ref="A3:I3"/>
    <mergeCell ref="B5:H5"/>
    <mergeCell ref="A10:F10"/>
    <mergeCell ref="G10:H10"/>
    <mergeCell ref="A11:I11"/>
    <mergeCell ref="B12:H12"/>
    <mergeCell ref="A18:F18"/>
    <mergeCell ref="G18:H18"/>
    <mergeCell ref="A19:I19"/>
    <mergeCell ref="B20:H20"/>
    <mergeCell ref="A28:F28"/>
    <mergeCell ref="G28:H28"/>
    <mergeCell ref="A29:I29"/>
    <mergeCell ref="B30:H30"/>
    <mergeCell ref="A36:F36"/>
    <mergeCell ref="G36:H36"/>
    <mergeCell ref="A37:I37"/>
    <mergeCell ref="B38:H38"/>
    <mergeCell ref="A41:F41"/>
    <mergeCell ref="G41:H41"/>
    <mergeCell ref="A42:I42"/>
    <mergeCell ref="B43:H43"/>
    <mergeCell ref="A44:H44"/>
    <mergeCell ref="A54:H54"/>
    <mergeCell ref="A67:H67"/>
    <mergeCell ref="A74:H74"/>
    <mergeCell ref="A82:H82"/>
    <mergeCell ref="A91:H91"/>
    <mergeCell ref="A95:H95"/>
    <mergeCell ref="A100:H100"/>
    <mergeCell ref="A105:H105"/>
    <mergeCell ref="A108:H108"/>
    <mergeCell ref="A111:H111"/>
    <mergeCell ref="A119:H119"/>
    <mergeCell ref="A122:F122"/>
    <mergeCell ref="G122:H122"/>
    <mergeCell ref="A123:I123"/>
    <mergeCell ref="B124:I124"/>
    <mergeCell ref="A133:F133"/>
    <mergeCell ref="G133:H133"/>
    <mergeCell ref="A134:I134"/>
    <mergeCell ref="B135:I135"/>
    <mergeCell ref="A144:F144"/>
    <mergeCell ref="G144:H144"/>
    <mergeCell ref="A145:I145"/>
    <mergeCell ref="B146:I146"/>
    <mergeCell ref="A155:F155"/>
    <mergeCell ref="G155:H155"/>
    <mergeCell ref="A156:I156"/>
    <mergeCell ref="B157:I157"/>
    <mergeCell ref="A165:F165"/>
    <mergeCell ref="G165:H165"/>
    <mergeCell ref="A166:I166"/>
    <mergeCell ref="B167:H167"/>
    <mergeCell ref="A168:H168"/>
    <mergeCell ref="A178:H178"/>
    <mergeCell ref="A191:H191"/>
    <mergeCell ref="A199:H199"/>
    <mergeCell ref="A207:H207"/>
    <mergeCell ref="A216:H216"/>
    <mergeCell ref="A219:H219"/>
    <mergeCell ref="A223:H223"/>
    <mergeCell ref="A228:H228"/>
    <mergeCell ref="A231:H231"/>
    <mergeCell ref="A236:H236"/>
    <mergeCell ref="A239:H239"/>
    <mergeCell ref="A242:F242"/>
    <mergeCell ref="G242:H242"/>
    <mergeCell ref="A243:I243"/>
    <mergeCell ref="B244:I244"/>
    <mergeCell ref="A256:F256"/>
    <mergeCell ref="G256:H256"/>
    <mergeCell ref="A257:I257"/>
    <mergeCell ref="B258:I258"/>
    <mergeCell ref="A263:F263"/>
    <mergeCell ref="G263:H263"/>
    <mergeCell ref="A264:I264"/>
    <mergeCell ref="B265:H265"/>
    <mergeCell ref="A266:H266"/>
    <mergeCell ref="A286:H286"/>
    <mergeCell ref="A306:F306"/>
    <mergeCell ref="G306:H306"/>
    <mergeCell ref="A307:I307"/>
    <mergeCell ref="A322:F322"/>
    <mergeCell ref="G322:H322"/>
    <mergeCell ref="A323:I323"/>
    <mergeCell ref="B324:H324"/>
    <mergeCell ref="A325:H325"/>
    <mergeCell ref="A334:H334"/>
    <mergeCell ref="A344:H344"/>
    <mergeCell ref="A362:H362"/>
    <mergeCell ref="A365:F365"/>
    <mergeCell ref="G365:H365"/>
    <mergeCell ref="A366:I366"/>
    <mergeCell ref="B367:H367"/>
    <mergeCell ref="A369:F369"/>
    <mergeCell ref="G369:H369"/>
    <mergeCell ref="A370:I370"/>
    <mergeCell ref="B371:H371"/>
    <mergeCell ref="A375:F375"/>
    <mergeCell ref="G375:H375"/>
    <mergeCell ref="A376:I376"/>
    <mergeCell ref="B377:H377"/>
    <mergeCell ref="A379:F379"/>
    <mergeCell ref="G379:H379"/>
    <mergeCell ref="A380:I380"/>
    <mergeCell ref="B381:H381"/>
    <mergeCell ref="A382:H382"/>
    <mergeCell ref="A384:H384"/>
    <mergeCell ref="A397:H397"/>
    <mergeCell ref="A401:H401"/>
    <mergeCell ref="A411:H411"/>
    <mergeCell ref="A423:H423"/>
    <mergeCell ref="A430:H430"/>
    <mergeCell ref="A442:H442"/>
    <mergeCell ref="A449:H449"/>
    <mergeCell ref="A455:H455"/>
    <mergeCell ref="A459:F459"/>
    <mergeCell ref="G459:H459"/>
    <mergeCell ref="A460:I460"/>
    <mergeCell ref="B461:H461"/>
    <mergeCell ref="A514:F514"/>
    <mergeCell ref="G514:H514"/>
    <mergeCell ref="A515:I515"/>
    <mergeCell ref="B516:I516"/>
    <mergeCell ref="A524:F524"/>
    <mergeCell ref="G524:H524"/>
    <mergeCell ref="A525:F525"/>
    <mergeCell ref="G525:H525"/>
  </mergeCells>
  <printOptions headings="false" gridLines="false" gridLinesSet="true" horizontalCentered="false" verticalCentered="false"/>
  <pageMargins left="0.511805555555556" right="0.511805555555556" top="0.511805555555556" bottom="0.511805555555556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845"/>
  <sheetViews>
    <sheetView showFormulas="false" showGridLines="true" showRowColHeaders="true" showZeros="true" rightToLeft="false" tabSelected="false" showOutlineSymbols="true" defaultGridColor="true" view="pageBreakPreview" topLeftCell="A776" colorId="64" zoomScale="130" zoomScaleNormal="120" zoomScalePageLayoutView="130" workbookViewId="0">
      <selection pane="topLeft" activeCell="D847" activeCellId="0" sqref="D847"/>
    </sheetView>
  </sheetViews>
  <sheetFormatPr defaultColWidth="8.6796875" defaultRowHeight="14.25" zeroHeight="false" outlineLevelRow="0" outlineLevelCol="0"/>
  <cols>
    <col collapsed="false" customWidth="false" hidden="false" outlineLevel="0" max="3" min="1" style="99" width="8.68"/>
    <col collapsed="false" customWidth="true" hidden="false" outlineLevel="0" max="4" min="4" style="99" width="58.56"/>
    <col collapsed="false" customWidth="true" hidden="false" outlineLevel="0" max="5" min="5" style="99" width="11.22"/>
    <col collapsed="false" customWidth="true" hidden="false" outlineLevel="0" max="6" min="6" style="99" width="25.77"/>
    <col collapsed="false" customWidth="false" hidden="false" outlineLevel="0" max="10" min="7" style="99" width="8.68"/>
    <col collapsed="false" customWidth="true" hidden="false" outlineLevel="0" max="11" min="11" style="99" width="12.26"/>
  </cols>
  <sheetData>
    <row r="1" s="1" customFormat="true" ht="84.55" hidden="false" customHeight="true" outlineLevel="0" collapsed="false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customFormat="false" ht="15" hidden="false" customHeight="false" outlineLevel="0" collapsed="false">
      <c r="A2" s="7" t="s">
        <v>820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customFormat="false" ht="14.25" hidden="false" customHeight="false" outlineLevel="0" collapsed="false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customFormat="false" ht="14.25" hidden="false" customHeight="false" outlineLevel="0" collapsed="false">
      <c r="A4" s="102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9" t="s">
        <v>8</v>
      </c>
      <c r="G4" s="103"/>
      <c r="H4" s="103"/>
      <c r="I4" s="103"/>
      <c r="J4" s="103"/>
      <c r="K4" s="10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customFormat="false" ht="14.25" hidden="false" customHeight="false" outlineLevel="0" collapsed="false">
      <c r="A5" s="104" t="s">
        <v>14</v>
      </c>
      <c r="B5" s="105" t="s">
        <v>15</v>
      </c>
      <c r="C5" s="105"/>
      <c r="D5" s="105"/>
      <c r="E5" s="105"/>
      <c r="F5" s="105"/>
      <c r="G5" s="105"/>
      <c r="H5" s="105"/>
      <c r="I5" s="105"/>
      <c r="J5" s="105"/>
      <c r="K5" s="106"/>
    </row>
    <row r="6" customFormat="false" ht="14.9" hidden="false" customHeight="true" outlineLevel="0" collapsed="false">
      <c r="A6" s="107" t="s">
        <v>16</v>
      </c>
      <c r="B6" s="108" t="s">
        <v>17</v>
      </c>
      <c r="C6" s="23" t="n">
        <v>4813</v>
      </c>
      <c r="D6" s="25" t="s">
        <v>18</v>
      </c>
      <c r="E6" s="23" t="s">
        <v>19</v>
      </c>
      <c r="F6" s="23" t="n">
        <f aca="false">4*2</f>
        <v>8</v>
      </c>
      <c r="G6" s="109" t="s">
        <v>821</v>
      </c>
      <c r="H6" s="109"/>
      <c r="I6" s="109"/>
      <c r="J6" s="109"/>
      <c r="K6" s="109"/>
      <c r="L6" s="29"/>
      <c r="M6" s="29"/>
      <c r="N6" s="29"/>
      <c r="O6" s="29"/>
      <c r="P6" s="2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customFormat="false" ht="14.9" hidden="false" customHeight="true" outlineLevel="0" collapsed="false">
      <c r="A7" s="107" t="s">
        <v>20</v>
      </c>
      <c r="B7" s="30" t="s">
        <v>21</v>
      </c>
      <c r="C7" s="23" t="s">
        <v>22</v>
      </c>
      <c r="D7" s="25" t="s">
        <v>23</v>
      </c>
      <c r="E7" s="23" t="s">
        <v>24</v>
      </c>
      <c r="F7" s="26" t="n">
        <v>80</v>
      </c>
      <c r="G7" s="109" t="s">
        <v>822</v>
      </c>
      <c r="H7" s="109"/>
      <c r="I7" s="109"/>
      <c r="J7" s="109"/>
      <c r="K7" s="109"/>
      <c r="L7" s="29"/>
      <c r="M7" s="29"/>
      <c r="N7" s="29"/>
      <c r="O7" s="29"/>
      <c r="P7" s="2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customFormat="false" ht="14.25" hidden="false" customHeight="true" outlineLevel="0" collapsed="false">
      <c r="A8" s="107" t="s">
        <v>25</v>
      </c>
      <c r="B8" s="30" t="s">
        <v>21</v>
      </c>
      <c r="C8" s="23" t="s">
        <v>27</v>
      </c>
      <c r="D8" s="25" t="s">
        <v>28</v>
      </c>
      <c r="E8" s="23" t="s">
        <v>29</v>
      </c>
      <c r="F8" s="26" t="n">
        <v>6</v>
      </c>
      <c r="G8" s="109" t="s">
        <v>823</v>
      </c>
      <c r="H8" s="109"/>
      <c r="I8" s="109"/>
      <c r="J8" s="109"/>
      <c r="K8" s="109"/>
      <c r="L8" s="29"/>
      <c r="M8" s="29"/>
      <c r="N8" s="29"/>
      <c r="O8" s="29"/>
      <c r="P8" s="2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customFormat="false" ht="21.75" hidden="false" customHeight="true" outlineLevel="0" collapsed="false">
      <c r="A9" s="107" t="s">
        <v>30</v>
      </c>
      <c r="B9" s="30" t="s">
        <v>21</v>
      </c>
      <c r="C9" s="23" t="s">
        <v>31</v>
      </c>
      <c r="D9" s="25" t="s">
        <v>32</v>
      </c>
      <c r="E9" s="23" t="s">
        <v>29</v>
      </c>
      <c r="F9" s="26" t="n">
        <v>6</v>
      </c>
      <c r="G9" s="109" t="s">
        <v>823</v>
      </c>
      <c r="H9" s="109"/>
      <c r="I9" s="109"/>
      <c r="J9" s="109"/>
      <c r="K9" s="109"/>
      <c r="L9" s="29"/>
      <c r="M9" s="29"/>
      <c r="N9" s="29"/>
      <c r="O9" s="29"/>
      <c r="P9" s="2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customFormat="false" ht="14.25" hidden="false" customHeight="false" outlineLevel="0" collapsed="false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29"/>
      <c r="M10" s="29"/>
      <c r="N10" s="29"/>
      <c r="O10" s="29"/>
      <c r="P10" s="2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</row>
    <row r="11" customFormat="false" ht="14.25" hidden="false" customHeight="false" outlineLevel="0" collapsed="false">
      <c r="A11" s="104" t="s">
        <v>34</v>
      </c>
      <c r="B11" s="105" t="s">
        <v>824</v>
      </c>
      <c r="C11" s="105"/>
      <c r="D11" s="105"/>
      <c r="E11" s="105"/>
      <c r="F11" s="105"/>
      <c r="G11" s="105"/>
      <c r="H11" s="105"/>
      <c r="I11" s="105"/>
      <c r="J11" s="105"/>
      <c r="K11" s="106"/>
    </row>
    <row r="12" customFormat="false" ht="14.9" hidden="false" customHeight="false" outlineLevel="0" collapsed="false">
      <c r="A12" s="107" t="s">
        <v>36</v>
      </c>
      <c r="B12" s="30" t="s">
        <v>21</v>
      </c>
      <c r="C12" s="23" t="s">
        <v>37</v>
      </c>
      <c r="D12" s="25" t="s">
        <v>38</v>
      </c>
      <c r="E12" s="23" t="s">
        <v>39</v>
      </c>
      <c r="F12" s="111" t="n">
        <v>3</v>
      </c>
      <c r="G12" s="112" t="s">
        <v>825</v>
      </c>
      <c r="H12" s="112"/>
      <c r="I12" s="112"/>
      <c r="J12" s="112"/>
      <c r="K12" s="112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customFormat="false" ht="14.9" hidden="false" customHeight="false" outlineLevel="0" collapsed="false">
      <c r="A13" s="107" t="s">
        <v>40</v>
      </c>
      <c r="B13" s="30" t="s">
        <v>21</v>
      </c>
      <c r="C13" s="23" t="s">
        <v>41</v>
      </c>
      <c r="D13" s="25" t="s">
        <v>42</v>
      </c>
      <c r="E13" s="23" t="s">
        <v>39</v>
      </c>
      <c r="F13" s="111" t="n">
        <v>9</v>
      </c>
      <c r="G13" s="112" t="s">
        <v>825</v>
      </c>
      <c r="H13" s="112"/>
      <c r="I13" s="112"/>
      <c r="J13" s="112"/>
      <c r="K13" s="112"/>
    </row>
    <row r="14" customFormat="false" ht="14.25" hidden="false" customHeight="false" outlineLevel="0" collapsed="false">
      <c r="A14" s="107" t="s">
        <v>43</v>
      </c>
      <c r="B14" s="30" t="s">
        <v>21</v>
      </c>
      <c r="C14" s="23" t="s">
        <v>44</v>
      </c>
      <c r="D14" s="25" t="s">
        <v>45</v>
      </c>
      <c r="E14" s="23" t="s">
        <v>19</v>
      </c>
      <c r="F14" s="111" t="n">
        <f aca="false">789+1940+926+40</f>
        <v>3695</v>
      </c>
      <c r="G14" s="112" t="s">
        <v>825</v>
      </c>
      <c r="H14" s="112"/>
      <c r="I14" s="112"/>
      <c r="J14" s="112"/>
      <c r="K14" s="112"/>
    </row>
    <row r="15" customFormat="false" ht="21.6" hidden="false" customHeight="false" outlineLevel="0" collapsed="false">
      <c r="A15" s="107" t="s">
        <v>46</v>
      </c>
      <c r="B15" s="31" t="s">
        <v>26</v>
      </c>
      <c r="C15" s="23" t="s">
        <v>47</v>
      </c>
      <c r="D15" s="25" t="s">
        <v>48</v>
      </c>
      <c r="E15" s="23" t="s">
        <v>49</v>
      </c>
      <c r="F15" s="23" t="n">
        <f aca="false">SUM(F16:F18)</f>
        <v>552.25</v>
      </c>
      <c r="G15" s="112"/>
      <c r="H15" s="112"/>
      <c r="I15" s="112"/>
      <c r="J15" s="112"/>
      <c r="K15" s="112"/>
    </row>
    <row r="16" customFormat="false" ht="14.25" hidden="false" customHeight="true" outlineLevel="0" collapsed="false">
      <c r="A16" s="107"/>
      <c r="B16" s="107"/>
      <c r="C16" s="107"/>
      <c r="D16" s="54" t="s">
        <v>826</v>
      </c>
      <c r="E16" s="54"/>
      <c r="F16" s="23" t="n">
        <f aca="false">F12*(20*11)/4</f>
        <v>165</v>
      </c>
      <c r="G16" s="112"/>
      <c r="H16" s="112"/>
      <c r="I16" s="112"/>
      <c r="J16" s="112"/>
      <c r="K16" s="112"/>
    </row>
    <row r="17" customFormat="false" ht="14.25" hidden="false" customHeight="true" outlineLevel="0" collapsed="false">
      <c r="A17" s="107"/>
      <c r="B17" s="107"/>
      <c r="C17" s="107"/>
      <c r="D17" s="54" t="s">
        <v>827</v>
      </c>
      <c r="E17" s="54"/>
      <c r="F17" s="23" t="n">
        <f aca="false">F13*(10*9)/4</f>
        <v>202.5</v>
      </c>
      <c r="G17" s="112"/>
      <c r="H17" s="112"/>
      <c r="I17" s="112"/>
      <c r="J17" s="112"/>
      <c r="K17" s="112"/>
    </row>
    <row r="18" customFormat="false" ht="14.25" hidden="false" customHeight="true" outlineLevel="0" collapsed="false">
      <c r="A18" s="107"/>
      <c r="B18" s="107"/>
      <c r="C18" s="107"/>
      <c r="D18" s="54" t="s">
        <v>828</v>
      </c>
      <c r="E18" s="54"/>
      <c r="F18" s="23" t="n">
        <f aca="false">F14*0.05</f>
        <v>184.75</v>
      </c>
      <c r="G18" s="112"/>
      <c r="H18" s="112"/>
      <c r="I18" s="112"/>
      <c r="J18" s="112"/>
      <c r="K18" s="112"/>
    </row>
    <row r="19" customFormat="false" ht="14.25" hidden="false" customHeight="false" outlineLevel="0" collapsed="false">
      <c r="A19" s="107" t="s">
        <v>50</v>
      </c>
      <c r="B19" s="31" t="s">
        <v>26</v>
      </c>
      <c r="C19" s="23" t="s">
        <v>51</v>
      </c>
      <c r="D19" s="41" t="s">
        <v>52</v>
      </c>
      <c r="E19" s="23" t="s">
        <v>49</v>
      </c>
      <c r="F19" s="111" t="n">
        <f aca="false">F15</f>
        <v>552.25</v>
      </c>
      <c r="G19" s="112" t="s">
        <v>825</v>
      </c>
      <c r="H19" s="112"/>
      <c r="I19" s="112"/>
      <c r="J19" s="112"/>
      <c r="K19" s="112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customFormat="false" ht="14.25" hidden="false" customHeight="false" outlineLevel="0" collapsed="false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customFormat="false" ht="14.25" hidden="false" customHeight="false" outlineLevel="0" collapsed="false">
      <c r="A21" s="104" t="s">
        <v>54</v>
      </c>
      <c r="B21" s="105" t="s">
        <v>55</v>
      </c>
      <c r="C21" s="105"/>
      <c r="D21" s="105"/>
      <c r="E21" s="105"/>
      <c r="F21" s="105"/>
      <c r="G21" s="105"/>
      <c r="H21" s="105"/>
      <c r="I21" s="105"/>
      <c r="J21" s="105"/>
      <c r="K21" s="106"/>
    </row>
    <row r="22" customFormat="false" ht="14.25" hidden="false" customHeight="false" outlineLevel="0" collapsed="false">
      <c r="A22" s="113" t="s">
        <v>829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customFormat="false" ht="14.9" hidden="false" customHeight="true" outlineLevel="0" collapsed="false">
      <c r="A23" s="107" t="s">
        <v>56</v>
      </c>
      <c r="B23" s="24" t="s">
        <v>57</v>
      </c>
      <c r="C23" s="23" t="n">
        <v>104790</v>
      </c>
      <c r="D23" s="25" t="s">
        <v>58</v>
      </c>
      <c r="E23" s="23" t="s">
        <v>49</v>
      </c>
      <c r="F23" s="23" t="n">
        <f aca="false">SUM(527+47+120+25+126+53+150)*0.15</f>
        <v>157.2</v>
      </c>
      <c r="G23" s="109" t="s">
        <v>829</v>
      </c>
      <c r="H23" s="109"/>
      <c r="I23" s="109"/>
      <c r="J23" s="109"/>
      <c r="K23" s="109"/>
      <c r="L23" s="29"/>
      <c r="M23" s="29"/>
      <c r="N23" s="29"/>
      <c r="O23" s="29"/>
      <c r="P23" s="2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customFormat="false" ht="21.6" hidden="false" customHeight="false" outlineLevel="0" collapsed="false">
      <c r="A24" s="107" t="s">
        <v>66</v>
      </c>
      <c r="B24" s="31" t="s">
        <v>26</v>
      </c>
      <c r="C24" s="23" t="s">
        <v>47</v>
      </c>
      <c r="D24" s="25" t="s">
        <v>48</v>
      </c>
      <c r="E24" s="23" t="s">
        <v>49</v>
      </c>
      <c r="F24" s="23" t="n">
        <f aca="false">SUM(527+47+120+25+126+53+150)*0.15</f>
        <v>157.2</v>
      </c>
      <c r="G24" s="109"/>
      <c r="H24" s="109"/>
      <c r="I24" s="109"/>
      <c r="J24" s="109"/>
      <c r="K24" s="109"/>
    </row>
    <row r="25" customFormat="false" ht="14.25" hidden="false" customHeight="false" outlineLevel="0" collapsed="false">
      <c r="A25" s="107" t="s">
        <v>68</v>
      </c>
      <c r="B25" s="31" t="s">
        <v>26</v>
      </c>
      <c r="C25" s="23" t="s">
        <v>51</v>
      </c>
      <c r="D25" s="41" t="s">
        <v>52</v>
      </c>
      <c r="E25" s="23" t="s">
        <v>49</v>
      </c>
      <c r="F25" s="23" t="n">
        <f aca="false">SUM(527+47+120+25+126+53+150)*0.15</f>
        <v>157.2</v>
      </c>
      <c r="G25" s="109"/>
      <c r="H25" s="109"/>
      <c r="I25" s="109"/>
      <c r="J25" s="109"/>
      <c r="K25" s="10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customFormat="false" ht="14.9" hidden="false" customHeight="false" outlineLevel="0" collapsed="false">
      <c r="A26" s="107" t="s">
        <v>59</v>
      </c>
      <c r="B26" s="24" t="s">
        <v>57</v>
      </c>
      <c r="C26" s="23" t="n">
        <v>100322</v>
      </c>
      <c r="D26" s="25" t="s">
        <v>62</v>
      </c>
      <c r="E26" s="23" t="s">
        <v>49</v>
      </c>
      <c r="F26" s="23" t="n">
        <f aca="false">(527+47+120+25+126+53+150)*0.03</f>
        <v>31.44</v>
      </c>
      <c r="G26" s="109"/>
      <c r="H26" s="109"/>
      <c r="I26" s="109"/>
      <c r="J26" s="109"/>
      <c r="K26" s="109"/>
      <c r="L26" s="29"/>
      <c r="M26" s="29"/>
      <c r="N26" s="29"/>
      <c r="O26" s="29"/>
      <c r="P26" s="2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customFormat="false" ht="14.25" hidden="false" customHeight="false" outlineLevel="0" collapsed="false">
      <c r="A27" s="107" t="s">
        <v>60</v>
      </c>
      <c r="B27" s="24" t="s">
        <v>64</v>
      </c>
      <c r="C27" s="23" t="n">
        <v>97113</v>
      </c>
      <c r="D27" s="25" t="s">
        <v>65</v>
      </c>
      <c r="E27" s="23" t="s">
        <v>19</v>
      </c>
      <c r="F27" s="26" t="n">
        <f aca="false">527+47+120+25+126+53+150</f>
        <v>1048</v>
      </c>
      <c r="G27" s="109"/>
      <c r="H27" s="109"/>
      <c r="I27" s="109"/>
      <c r="J27" s="109"/>
      <c r="K27" s="109"/>
      <c r="L27" s="29"/>
      <c r="M27" s="42"/>
      <c r="N27" s="29"/>
      <c r="O27" s="29"/>
      <c r="P27" s="29"/>
    </row>
    <row r="28" customFormat="false" ht="14.9" hidden="false" customHeight="false" outlineLevel="0" collapsed="false">
      <c r="A28" s="107" t="s">
        <v>61</v>
      </c>
      <c r="B28" s="24" t="s">
        <v>57</v>
      </c>
      <c r="C28" s="23" t="n">
        <v>104626</v>
      </c>
      <c r="D28" s="25" t="s">
        <v>67</v>
      </c>
      <c r="E28" s="23" t="s">
        <v>49</v>
      </c>
      <c r="F28" s="23" t="n">
        <f aca="false">F27*0.1</f>
        <v>104.8</v>
      </c>
      <c r="G28" s="109"/>
      <c r="H28" s="109"/>
      <c r="I28" s="109"/>
      <c r="J28" s="109"/>
      <c r="K28" s="109"/>
      <c r="L28" s="29"/>
      <c r="M28" s="29"/>
      <c r="N28" s="29"/>
      <c r="O28" s="29"/>
      <c r="P28" s="2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customFormat="false" ht="14.25" hidden="false" customHeight="false" outlineLevel="0" collapsed="false">
      <c r="A29" s="107" t="s">
        <v>63</v>
      </c>
      <c r="B29" s="24" t="s">
        <v>57</v>
      </c>
      <c r="C29" s="23" t="s">
        <v>69</v>
      </c>
      <c r="D29" s="25" t="s">
        <v>70</v>
      </c>
      <c r="E29" s="23" t="s">
        <v>19</v>
      </c>
      <c r="F29" s="26" t="n">
        <f aca="false">F27</f>
        <v>1048</v>
      </c>
      <c r="G29" s="109"/>
      <c r="H29" s="109"/>
      <c r="I29" s="109"/>
      <c r="J29" s="109"/>
      <c r="K29" s="109"/>
      <c r="L29" s="29"/>
      <c r="M29" s="29"/>
      <c r="N29" s="29"/>
      <c r="O29" s="29"/>
      <c r="P29" s="2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customFormat="false" ht="14.25" hidden="false" customHeight="false" outlineLevel="0" collapsed="false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customFormat="false" ht="14.25" hidden="false" customHeight="false" outlineLevel="0" collapsed="false">
      <c r="A31" s="104" t="s">
        <v>72</v>
      </c>
      <c r="B31" s="114"/>
      <c r="C31" s="114"/>
      <c r="D31" s="115" t="s">
        <v>830</v>
      </c>
      <c r="E31" s="115"/>
      <c r="F31" s="115"/>
      <c r="G31" s="115"/>
      <c r="H31" s="115"/>
      <c r="I31" s="115"/>
      <c r="J31" s="115"/>
      <c r="K31" s="106"/>
    </row>
    <row r="32" customFormat="false" ht="14.25" hidden="false" customHeight="false" outlineLevel="0" collapsed="false">
      <c r="A32" s="113" t="s">
        <v>831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customFormat="false" ht="14.25" hidden="false" customHeight="false" outlineLevel="0" collapsed="false">
      <c r="A33" s="107" t="s">
        <v>74</v>
      </c>
      <c r="B33" s="31" t="s">
        <v>26</v>
      </c>
      <c r="C33" s="23" t="s">
        <v>78</v>
      </c>
      <c r="D33" s="41" t="s">
        <v>79</v>
      </c>
      <c r="E33" s="23" t="s">
        <v>19</v>
      </c>
      <c r="F33" s="111" t="n">
        <f aca="false">150+1153</f>
        <v>1303</v>
      </c>
      <c r="G33" s="112" t="s">
        <v>831</v>
      </c>
      <c r="H33" s="112"/>
      <c r="I33" s="112"/>
      <c r="J33" s="112"/>
      <c r="K33" s="112"/>
    </row>
    <row r="34" customFormat="false" ht="14.9" hidden="false" customHeight="false" outlineLevel="0" collapsed="false">
      <c r="A34" s="107" t="s">
        <v>77</v>
      </c>
      <c r="B34" s="24" t="s">
        <v>57</v>
      </c>
      <c r="C34" s="23" t="n">
        <v>95995</v>
      </c>
      <c r="D34" s="41" t="s">
        <v>81</v>
      </c>
      <c r="E34" s="23" t="s">
        <v>49</v>
      </c>
      <c r="F34" s="111" t="n">
        <f aca="false">(150+1153)*0.03</f>
        <v>39.09</v>
      </c>
      <c r="G34" s="112"/>
      <c r="H34" s="112"/>
      <c r="I34" s="112"/>
      <c r="J34" s="112"/>
      <c r="K34" s="112"/>
    </row>
    <row r="35" customFormat="false" ht="14.9" hidden="false" customHeight="false" outlineLevel="0" collapsed="false">
      <c r="A35" s="107" t="s">
        <v>80</v>
      </c>
      <c r="B35" s="24" t="s">
        <v>57</v>
      </c>
      <c r="C35" s="23" t="n">
        <v>93590</v>
      </c>
      <c r="D35" s="41" t="s">
        <v>83</v>
      </c>
      <c r="E35" s="23" t="s">
        <v>84</v>
      </c>
      <c r="F35" s="111" t="n">
        <f aca="false">F34*100</f>
        <v>3909</v>
      </c>
      <c r="G35" s="112"/>
      <c r="H35" s="112"/>
      <c r="I35" s="112"/>
      <c r="J35" s="112"/>
      <c r="K35" s="112"/>
    </row>
    <row r="36" customFormat="false" ht="14.25" hidden="false" customHeight="false" outlineLevel="0" collapsed="false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customFormat="false" ht="14.25" hidden="false" customHeight="false" outlineLevel="0" collapsed="false">
      <c r="A37" s="104" t="s">
        <v>88</v>
      </c>
      <c r="B37" s="114"/>
      <c r="C37" s="114"/>
      <c r="D37" s="115" t="s">
        <v>89</v>
      </c>
      <c r="E37" s="115"/>
      <c r="F37" s="115"/>
      <c r="G37" s="115"/>
      <c r="H37" s="115"/>
      <c r="I37" s="115"/>
      <c r="J37" s="115"/>
      <c r="K37" s="106"/>
    </row>
    <row r="38" customFormat="false" ht="14.25" hidden="false" customHeight="false" outlineLevel="0" collapsed="false">
      <c r="A38" s="113" t="s">
        <v>832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customFormat="false" ht="21.6" hidden="false" customHeight="false" outlineLevel="0" collapsed="false">
      <c r="A39" s="107" t="s">
        <v>90</v>
      </c>
      <c r="B39" s="24" t="s">
        <v>57</v>
      </c>
      <c r="C39" s="23" t="n">
        <v>94304</v>
      </c>
      <c r="D39" s="41" t="s">
        <v>91</v>
      </c>
      <c r="E39" s="23" t="s">
        <v>49</v>
      </c>
      <c r="F39" s="111" t="n">
        <v>24.95</v>
      </c>
      <c r="G39" s="112" t="s">
        <v>832</v>
      </c>
      <c r="H39" s="112"/>
      <c r="I39" s="112"/>
      <c r="J39" s="112"/>
      <c r="K39" s="112"/>
    </row>
    <row r="40" customFormat="false" ht="14.25" hidden="false" customHeight="false" outlineLevel="0" collapsed="false">
      <c r="A40" s="107" t="s">
        <v>92</v>
      </c>
      <c r="B40" s="24" t="s">
        <v>57</v>
      </c>
      <c r="C40" s="116" t="s">
        <v>833</v>
      </c>
      <c r="D40" s="41" t="s">
        <v>93</v>
      </c>
      <c r="E40" s="23" t="s">
        <v>19</v>
      </c>
      <c r="F40" s="111" t="n">
        <v>243.98</v>
      </c>
      <c r="G40" s="112"/>
      <c r="H40" s="112"/>
      <c r="I40" s="112"/>
      <c r="J40" s="112"/>
      <c r="K40" s="112"/>
    </row>
    <row r="41" customFormat="false" ht="14.25" hidden="false" customHeight="false" outlineLevel="0" collapsed="false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customFormat="false" ht="14.25" hidden="false" customHeight="false" outlineLevel="0" collapsed="false">
      <c r="A42" s="104" t="s">
        <v>95</v>
      </c>
      <c r="B42" s="105" t="s">
        <v>96</v>
      </c>
      <c r="C42" s="105"/>
      <c r="D42" s="105"/>
      <c r="E42" s="105"/>
      <c r="F42" s="105"/>
      <c r="G42" s="105"/>
      <c r="H42" s="105"/>
      <c r="I42" s="105"/>
      <c r="J42" s="105"/>
      <c r="K42" s="106"/>
    </row>
    <row r="43" customFormat="false" ht="14.25" hidden="false" customHeight="false" outlineLevel="0" collapsed="false">
      <c r="A43" s="117" t="s">
        <v>97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29"/>
      <c r="M43" s="29"/>
      <c r="N43" s="29"/>
      <c r="O43" s="29"/>
      <c r="P43" s="29"/>
    </row>
    <row r="44" customFormat="false" ht="14.25" hidden="false" customHeight="false" outlineLevel="0" collapsed="false">
      <c r="A44" s="107" t="s">
        <v>98</v>
      </c>
      <c r="B44" s="30" t="s">
        <v>21</v>
      </c>
      <c r="C44" s="23" t="s">
        <v>99</v>
      </c>
      <c r="D44" s="25" t="s">
        <v>100</v>
      </c>
      <c r="E44" s="23" t="s">
        <v>24</v>
      </c>
      <c r="F44" s="23" t="n">
        <f aca="false">E48</f>
        <v>32</v>
      </c>
      <c r="G44" s="109"/>
      <c r="H44" s="109"/>
      <c r="I44" s="109"/>
      <c r="J44" s="109"/>
      <c r="K44" s="109"/>
      <c r="L44" s="29"/>
      <c r="M44" s="29"/>
      <c r="N44" s="29"/>
      <c r="O44" s="29"/>
      <c r="P44" s="29"/>
    </row>
    <row r="45" customFormat="false" ht="14.25" hidden="false" customHeight="false" outlineLevel="0" collapsed="false">
      <c r="A45" s="118" t="s">
        <v>834</v>
      </c>
      <c r="B45" s="118"/>
      <c r="C45" s="118"/>
      <c r="D45" s="119" t="s">
        <v>835</v>
      </c>
      <c r="E45" s="119"/>
      <c r="F45" s="119"/>
      <c r="G45" s="119"/>
      <c r="H45" s="119"/>
      <c r="I45" s="119"/>
      <c r="J45" s="119"/>
      <c r="K45" s="119"/>
    </row>
    <row r="46" customFormat="false" ht="14.25" hidden="false" customHeight="false" outlineLevel="0" collapsed="false">
      <c r="A46" s="120"/>
      <c r="B46" s="120"/>
      <c r="C46" s="120"/>
      <c r="D46" s="121" t="s">
        <v>836</v>
      </c>
      <c r="E46" s="121" t="s">
        <v>837</v>
      </c>
      <c r="F46" s="121" t="s">
        <v>838</v>
      </c>
      <c r="G46" s="121"/>
      <c r="H46" s="122" t="s">
        <v>839</v>
      </c>
      <c r="I46" s="121" t="s">
        <v>840</v>
      </c>
      <c r="J46" s="119"/>
      <c r="K46" s="119"/>
    </row>
    <row r="47" customFormat="false" ht="14.25" hidden="false" customHeight="false" outlineLevel="0" collapsed="false">
      <c r="A47" s="120"/>
      <c r="B47" s="120"/>
      <c r="C47" s="120"/>
      <c r="D47" s="23"/>
      <c r="E47" s="123" t="n">
        <v>8</v>
      </c>
      <c r="F47" s="123" t="n">
        <v>4</v>
      </c>
      <c r="G47" s="123"/>
      <c r="H47" s="124" t="s">
        <v>841</v>
      </c>
      <c r="I47" s="124" t="n">
        <f aca="false">SUM(E47*F47)</f>
        <v>32</v>
      </c>
      <c r="J47" s="119"/>
      <c r="K47" s="119"/>
    </row>
    <row r="48" customFormat="false" ht="14.25" hidden="false" customHeight="false" outlineLevel="0" collapsed="false">
      <c r="A48" s="120"/>
      <c r="B48" s="120"/>
      <c r="C48" s="120"/>
      <c r="D48" s="121" t="s">
        <v>842</v>
      </c>
      <c r="E48" s="125" t="n">
        <f aca="false">SUM(I47:I47)</f>
        <v>32</v>
      </c>
      <c r="F48" s="125"/>
      <c r="G48" s="125"/>
      <c r="H48" s="126"/>
      <c r="I48" s="126"/>
      <c r="J48" s="126"/>
      <c r="K48" s="126"/>
    </row>
    <row r="49" customFormat="false" ht="14.25" hidden="false" customHeight="false" outlineLevel="0" collapsed="false">
      <c r="A49" s="107" t="s">
        <v>101</v>
      </c>
      <c r="B49" s="24" t="s">
        <v>57</v>
      </c>
      <c r="C49" s="23" t="n">
        <v>92800</v>
      </c>
      <c r="D49" s="25" t="s">
        <v>102</v>
      </c>
      <c r="E49" s="23" t="s">
        <v>103</v>
      </c>
      <c r="F49" s="23" t="n">
        <f aca="false">K54</f>
        <v>34.1674666666667</v>
      </c>
      <c r="G49" s="109"/>
      <c r="H49" s="109"/>
      <c r="I49" s="109"/>
      <c r="J49" s="109"/>
      <c r="K49" s="109"/>
      <c r="L49" s="29"/>
      <c r="M49" s="29"/>
      <c r="N49" s="29"/>
      <c r="O49" s="29"/>
      <c r="P49" s="29"/>
    </row>
    <row r="50" customFormat="false" ht="14.25" hidden="false" customHeight="false" outlineLevel="0" collapsed="false">
      <c r="A50" s="127" t="s">
        <v>834</v>
      </c>
      <c r="B50" s="127"/>
      <c r="C50" s="127"/>
      <c r="D50" s="128" t="s">
        <v>843</v>
      </c>
      <c r="E50" s="128"/>
      <c r="F50" s="128"/>
      <c r="G50" s="128"/>
      <c r="H50" s="128"/>
      <c r="I50" s="128"/>
      <c r="J50" s="128"/>
      <c r="K50" s="128"/>
    </row>
    <row r="51" customFormat="false" ht="14.25" hidden="false" customHeight="false" outlineLevel="0" collapsed="false">
      <c r="A51" s="107"/>
      <c r="B51" s="107"/>
      <c r="C51" s="107"/>
      <c r="D51" s="107"/>
      <c r="E51" s="129" t="n">
        <f aca="false">E48</f>
        <v>32</v>
      </c>
      <c r="F51" s="129"/>
      <c r="G51" s="129"/>
      <c r="H51" s="129"/>
      <c r="I51" s="129"/>
      <c r="J51" s="129"/>
      <c r="K51" s="130"/>
      <c r="L51" s="29"/>
      <c r="M51" s="29"/>
      <c r="N51" s="2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</row>
    <row r="52" customFormat="false" ht="14.25" hidden="false" customHeight="true" outlineLevel="0" collapsed="false">
      <c r="A52" s="107"/>
      <c r="B52" s="107"/>
      <c r="C52" s="107"/>
      <c r="D52" s="107"/>
      <c r="E52" s="131" t="s">
        <v>844</v>
      </c>
      <c r="F52" s="131"/>
      <c r="G52" s="131"/>
      <c r="H52" s="131"/>
      <c r="I52" s="131"/>
      <c r="J52" s="131"/>
      <c r="K52" s="132" t="n">
        <f aca="false">SUM(E51/0.15)</f>
        <v>213.333333333333</v>
      </c>
      <c r="L52" s="29"/>
      <c r="M52" s="29"/>
      <c r="N52" s="2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</row>
    <row r="53" customFormat="false" ht="14.25" hidden="false" customHeight="true" outlineLevel="0" collapsed="false">
      <c r="A53" s="107"/>
      <c r="B53" s="107"/>
      <c r="C53" s="107"/>
      <c r="D53" s="107"/>
      <c r="E53" s="131" t="s">
        <v>845</v>
      </c>
      <c r="F53" s="131"/>
      <c r="G53" s="131"/>
      <c r="H53" s="131"/>
      <c r="I53" s="131"/>
      <c r="J53" s="131"/>
      <c r="K53" s="132" t="n">
        <f aca="false">SUM(K52*1.04)</f>
        <v>221.866666666667</v>
      </c>
      <c r="L53" s="29"/>
      <c r="M53" s="29"/>
      <c r="N53" s="2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</row>
    <row r="54" customFormat="false" ht="14.25" hidden="false" customHeight="true" outlineLevel="0" collapsed="false">
      <c r="A54" s="107"/>
      <c r="B54" s="107"/>
      <c r="C54" s="107"/>
      <c r="D54" s="107"/>
      <c r="E54" s="131" t="s">
        <v>846</v>
      </c>
      <c r="F54" s="131"/>
      <c r="G54" s="131"/>
      <c r="H54" s="131"/>
      <c r="I54" s="131"/>
      <c r="J54" s="131"/>
      <c r="K54" s="133" t="n">
        <f aca="false">SUM(K53*0.154)</f>
        <v>34.1674666666667</v>
      </c>
      <c r="L54" s="29"/>
      <c r="M54" s="29"/>
      <c r="N54" s="2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</row>
    <row r="55" customFormat="false" ht="14.25" hidden="false" customHeight="false" outlineLevel="0" collapsed="false">
      <c r="A55" s="107" t="s">
        <v>104</v>
      </c>
      <c r="B55" s="24" t="s">
        <v>57</v>
      </c>
      <c r="C55" s="23" t="n">
        <v>92803</v>
      </c>
      <c r="D55" s="25" t="s">
        <v>105</v>
      </c>
      <c r="E55" s="23" t="s">
        <v>103</v>
      </c>
      <c r="F55" s="23" t="n">
        <f aca="false">K58</f>
        <v>78.976</v>
      </c>
      <c r="G55" s="109"/>
      <c r="H55" s="109"/>
      <c r="I55" s="109"/>
      <c r="J55" s="109"/>
      <c r="K55" s="109"/>
      <c r="L55" s="29"/>
      <c r="M55" s="29"/>
      <c r="N55" s="29"/>
      <c r="O55" s="29"/>
      <c r="P55" s="2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customFormat="false" ht="14.25" hidden="false" customHeight="false" outlineLevel="0" collapsed="false">
      <c r="A56" s="134"/>
      <c r="B56" s="134"/>
      <c r="C56" s="134"/>
      <c r="D56" s="134"/>
      <c r="E56" s="131" t="n">
        <f aca="false">E48</f>
        <v>32</v>
      </c>
      <c r="F56" s="131"/>
      <c r="G56" s="131"/>
      <c r="H56" s="131"/>
      <c r="I56" s="131"/>
      <c r="J56" s="131"/>
      <c r="K56" s="130"/>
      <c r="L56" s="29"/>
      <c r="M56" s="29"/>
      <c r="N56" s="2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</row>
    <row r="57" customFormat="false" ht="14.25" hidden="false" customHeight="true" outlineLevel="0" collapsed="false">
      <c r="A57" s="134"/>
      <c r="B57" s="134"/>
      <c r="C57" s="134"/>
      <c r="D57" s="134"/>
      <c r="E57" s="131" t="s">
        <v>847</v>
      </c>
      <c r="F57" s="131"/>
      <c r="G57" s="131"/>
      <c r="H57" s="131"/>
      <c r="I57" s="131"/>
      <c r="J57" s="131"/>
      <c r="K57" s="132" t="n">
        <f aca="false">SUM(E56*4)</f>
        <v>128</v>
      </c>
      <c r="L57" s="29"/>
      <c r="M57" s="29"/>
      <c r="N57" s="2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</row>
    <row r="58" customFormat="false" ht="14.25" hidden="false" customHeight="true" outlineLevel="0" collapsed="false">
      <c r="A58" s="134"/>
      <c r="B58" s="134"/>
      <c r="C58" s="134"/>
      <c r="D58" s="134"/>
      <c r="E58" s="131" t="s">
        <v>848</v>
      </c>
      <c r="F58" s="131"/>
      <c r="G58" s="131"/>
      <c r="H58" s="131"/>
      <c r="I58" s="131"/>
      <c r="J58" s="131"/>
      <c r="K58" s="132" t="n">
        <f aca="false">SUM(K57*0.617)</f>
        <v>78.976</v>
      </c>
      <c r="L58" s="29"/>
      <c r="M58" s="29"/>
      <c r="N58" s="2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</row>
    <row r="59" customFormat="false" ht="14.9" hidden="false" customHeight="false" outlineLevel="0" collapsed="false">
      <c r="A59" s="107" t="s">
        <v>106</v>
      </c>
      <c r="B59" s="24" t="s">
        <v>57</v>
      </c>
      <c r="C59" s="23" t="n">
        <v>96526</v>
      </c>
      <c r="D59" s="25" t="s">
        <v>107</v>
      </c>
      <c r="E59" s="23" t="s">
        <v>49</v>
      </c>
      <c r="F59" s="23" t="n">
        <f aca="false">I62</f>
        <v>1.608</v>
      </c>
      <c r="G59" s="109"/>
      <c r="H59" s="109"/>
      <c r="I59" s="109"/>
      <c r="J59" s="109"/>
      <c r="K59" s="109"/>
      <c r="L59" s="29"/>
      <c r="M59" s="29"/>
      <c r="N59" s="29"/>
      <c r="O59" s="29"/>
      <c r="P59" s="29"/>
    </row>
    <row r="60" customFormat="false" ht="14.25" hidden="false" customHeight="false" outlineLevel="0" collapsed="false">
      <c r="A60" s="107"/>
      <c r="B60" s="107"/>
      <c r="C60" s="107"/>
      <c r="D60" s="107"/>
      <c r="E60" s="23"/>
      <c r="F60" s="23"/>
      <c r="G60" s="23"/>
      <c r="H60" s="23"/>
      <c r="I60" s="135" t="s">
        <v>849</v>
      </c>
      <c r="J60" s="135"/>
      <c r="K60" s="135"/>
    </row>
    <row r="61" customFormat="false" ht="14.25" hidden="false" customHeight="false" outlineLevel="0" collapsed="false">
      <c r="A61" s="107"/>
      <c r="B61" s="107"/>
      <c r="C61" s="107"/>
      <c r="D61" s="107"/>
      <c r="E61" s="123" t="s">
        <v>850</v>
      </c>
      <c r="F61" s="123"/>
      <c r="G61" s="123"/>
      <c r="H61" s="123" t="n">
        <f aca="false">(2.35+2.35+2)*2</f>
        <v>13.4</v>
      </c>
      <c r="I61" s="135" t="n">
        <f aca="false">H61*0.3*0.4</f>
        <v>1.608</v>
      </c>
      <c r="J61" s="135"/>
      <c r="K61" s="135"/>
    </row>
    <row r="62" customFormat="false" ht="14.25" hidden="false" customHeight="false" outlineLevel="0" collapsed="false">
      <c r="A62" s="107"/>
      <c r="B62" s="107"/>
      <c r="C62" s="107"/>
      <c r="D62" s="107"/>
      <c r="E62" s="136" t="s">
        <v>851</v>
      </c>
      <c r="F62" s="136"/>
      <c r="G62" s="136"/>
      <c r="H62" s="136"/>
      <c r="I62" s="137" t="n">
        <f aca="false">SUM(I61:K61)</f>
        <v>1.608</v>
      </c>
      <c r="J62" s="137"/>
      <c r="K62" s="137"/>
    </row>
    <row r="63" customFormat="false" ht="14.9" hidden="false" customHeight="false" outlineLevel="0" collapsed="false">
      <c r="A63" s="107" t="s">
        <v>108</v>
      </c>
      <c r="B63" s="24" t="s">
        <v>57</v>
      </c>
      <c r="C63" s="23" t="n">
        <v>101619</v>
      </c>
      <c r="D63" s="25" t="s">
        <v>109</v>
      </c>
      <c r="E63" s="23" t="s">
        <v>49</v>
      </c>
      <c r="F63" s="23" t="n">
        <f aca="false">SUM(E64:E64)</f>
        <v>0.04824</v>
      </c>
      <c r="G63" s="138"/>
      <c r="H63" s="138"/>
      <c r="I63" s="138"/>
      <c r="J63" s="138"/>
      <c r="K63" s="138"/>
      <c r="L63" s="29"/>
      <c r="M63" s="29"/>
      <c r="N63" s="29"/>
      <c r="O63" s="29"/>
      <c r="P63" s="29"/>
    </row>
    <row r="64" customFormat="false" ht="14.25" hidden="false" customHeight="false" outlineLevel="0" collapsed="false">
      <c r="A64" s="107"/>
      <c r="B64" s="107"/>
      <c r="C64" s="107"/>
      <c r="D64" s="107"/>
      <c r="E64" s="23" t="n">
        <f aca="false">I62*0.3*0.1</f>
        <v>0.04824</v>
      </c>
      <c r="F64" s="23"/>
      <c r="G64" s="138"/>
      <c r="H64" s="138"/>
      <c r="I64" s="138"/>
      <c r="J64" s="138"/>
      <c r="K64" s="138"/>
      <c r="L64" s="29"/>
      <c r="M64" s="29"/>
      <c r="N64" s="29"/>
      <c r="O64" s="29"/>
      <c r="P64" s="29"/>
    </row>
    <row r="65" customFormat="false" ht="14.25" hidden="false" customHeight="false" outlineLevel="0" collapsed="false">
      <c r="A65" s="107" t="s">
        <v>110</v>
      </c>
      <c r="B65" s="24" t="s">
        <v>57</v>
      </c>
      <c r="C65" s="23" t="n">
        <v>92800</v>
      </c>
      <c r="D65" s="25" t="s">
        <v>102</v>
      </c>
      <c r="E65" s="23" t="s">
        <v>103</v>
      </c>
      <c r="F65" s="23" t="n">
        <f aca="false">K69+K976+K981</f>
        <v>19.81056</v>
      </c>
      <c r="G65" s="138"/>
      <c r="H65" s="138"/>
      <c r="I65" s="138"/>
      <c r="J65" s="138"/>
      <c r="K65" s="138"/>
      <c r="L65" s="29"/>
      <c r="M65" s="29"/>
      <c r="N65" s="29"/>
      <c r="O65" s="29"/>
      <c r="P65" s="29"/>
    </row>
    <row r="66" customFormat="false" ht="14.25" hidden="false" customHeight="false" outlineLevel="0" collapsed="false">
      <c r="A66" s="134"/>
      <c r="B66" s="134"/>
      <c r="C66" s="134"/>
      <c r="D66" s="134"/>
      <c r="E66" s="131" t="n">
        <f aca="false">SUM(H61:H61)</f>
        <v>13.4</v>
      </c>
      <c r="F66" s="131"/>
      <c r="G66" s="131"/>
      <c r="H66" s="131"/>
      <c r="I66" s="131"/>
      <c r="J66" s="131"/>
      <c r="K66" s="130"/>
      <c r="L66" s="29"/>
      <c r="M66" s="29"/>
      <c r="N66" s="2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</row>
    <row r="67" customFormat="false" ht="14.25" hidden="false" customHeight="true" outlineLevel="0" collapsed="false">
      <c r="A67" s="134"/>
      <c r="B67" s="134"/>
      <c r="C67" s="134"/>
      <c r="D67" s="134"/>
      <c r="E67" s="131" t="s">
        <v>852</v>
      </c>
      <c r="F67" s="131"/>
      <c r="G67" s="131"/>
      <c r="H67" s="131"/>
      <c r="I67" s="131"/>
      <c r="J67" s="131"/>
      <c r="K67" s="132" t="n">
        <f aca="false">SUM(E66/0.15)</f>
        <v>89.3333333333333</v>
      </c>
      <c r="L67" s="29"/>
      <c r="M67" s="29"/>
      <c r="N67" s="2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</row>
    <row r="68" customFormat="false" ht="14.25" hidden="false" customHeight="true" outlineLevel="0" collapsed="false">
      <c r="A68" s="134"/>
      <c r="B68" s="134"/>
      <c r="C68" s="134"/>
      <c r="D68" s="134"/>
      <c r="E68" s="131" t="s">
        <v>853</v>
      </c>
      <c r="F68" s="131"/>
      <c r="G68" s="131"/>
      <c r="H68" s="131"/>
      <c r="I68" s="131"/>
      <c r="J68" s="131"/>
      <c r="K68" s="132" t="n">
        <f aca="false">SUM(K67*1.44)</f>
        <v>128.64</v>
      </c>
      <c r="L68" s="29"/>
      <c r="M68" s="29"/>
      <c r="N68" s="2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</row>
    <row r="69" customFormat="false" ht="14.25" hidden="false" customHeight="true" outlineLevel="0" collapsed="false">
      <c r="A69" s="134"/>
      <c r="B69" s="134"/>
      <c r="C69" s="134"/>
      <c r="D69" s="134"/>
      <c r="E69" s="131" t="s">
        <v>854</v>
      </c>
      <c r="F69" s="131"/>
      <c r="G69" s="131"/>
      <c r="H69" s="131"/>
      <c r="I69" s="131"/>
      <c r="J69" s="131"/>
      <c r="K69" s="133" t="n">
        <f aca="false">SUM(K68*0.154)</f>
        <v>19.81056</v>
      </c>
      <c r="L69" s="29"/>
      <c r="M69" s="29"/>
      <c r="N69" s="2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</row>
    <row r="70" customFormat="false" ht="14.25" hidden="false" customHeight="false" outlineLevel="0" collapsed="false">
      <c r="A70" s="107" t="s">
        <v>111</v>
      </c>
      <c r="B70" s="24" t="s">
        <v>57</v>
      </c>
      <c r="C70" s="23" t="n">
        <v>92803</v>
      </c>
      <c r="D70" s="25" t="s">
        <v>105</v>
      </c>
      <c r="E70" s="23" t="s">
        <v>103</v>
      </c>
      <c r="F70" s="23" t="n">
        <f aca="false">K73</f>
        <v>33.0712</v>
      </c>
      <c r="G70" s="109"/>
      <c r="H70" s="109"/>
      <c r="I70" s="109"/>
      <c r="J70" s="109"/>
      <c r="K70" s="109"/>
      <c r="L70" s="29"/>
      <c r="M70" s="29"/>
      <c r="N70" s="29"/>
      <c r="O70" s="29"/>
      <c r="P70" s="2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customFormat="false" ht="14.25" hidden="false" customHeight="false" outlineLevel="0" collapsed="false">
      <c r="A71" s="134"/>
      <c r="B71" s="134"/>
      <c r="C71" s="134"/>
      <c r="D71" s="134"/>
      <c r="E71" s="131" t="n">
        <f aca="false">E66</f>
        <v>13.4</v>
      </c>
      <c r="F71" s="131"/>
      <c r="G71" s="131"/>
      <c r="H71" s="131"/>
      <c r="I71" s="131"/>
      <c r="J71" s="131"/>
      <c r="K71" s="130"/>
      <c r="L71" s="29"/>
      <c r="M71" s="29"/>
      <c r="N71" s="2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</row>
    <row r="72" customFormat="false" ht="14.25" hidden="false" customHeight="true" outlineLevel="0" collapsed="false">
      <c r="A72" s="134"/>
      <c r="B72" s="134"/>
      <c r="C72" s="134"/>
      <c r="D72" s="134"/>
      <c r="E72" s="131" t="s">
        <v>855</v>
      </c>
      <c r="F72" s="131"/>
      <c r="G72" s="131"/>
      <c r="H72" s="131"/>
      <c r="I72" s="131"/>
      <c r="J72" s="131"/>
      <c r="K72" s="132" t="n">
        <f aca="false">SUM(E71*4)</f>
        <v>53.6</v>
      </c>
      <c r="L72" s="29"/>
      <c r="M72" s="29"/>
      <c r="N72" s="2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</row>
    <row r="73" customFormat="false" ht="14.25" hidden="false" customHeight="true" outlineLevel="0" collapsed="false">
      <c r="A73" s="134"/>
      <c r="B73" s="134"/>
      <c r="C73" s="134"/>
      <c r="D73" s="134"/>
      <c r="E73" s="131" t="s">
        <v>856</v>
      </c>
      <c r="F73" s="131"/>
      <c r="G73" s="131"/>
      <c r="H73" s="131"/>
      <c r="I73" s="131"/>
      <c r="J73" s="131"/>
      <c r="K73" s="132" t="n">
        <f aca="false">SUM(K72*0.617)</f>
        <v>33.0712</v>
      </c>
      <c r="L73" s="29"/>
      <c r="M73" s="29"/>
      <c r="N73" s="2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</row>
    <row r="74" customFormat="false" ht="14.9" hidden="false" customHeight="false" outlineLevel="0" collapsed="false">
      <c r="A74" s="107" t="s">
        <v>112</v>
      </c>
      <c r="B74" s="24" t="s">
        <v>57</v>
      </c>
      <c r="C74" s="23" t="n">
        <v>96557</v>
      </c>
      <c r="D74" s="25" t="s">
        <v>113</v>
      </c>
      <c r="E74" s="23" t="s">
        <v>49</v>
      </c>
      <c r="F74" s="23" t="n">
        <f aca="false">I62</f>
        <v>1.608</v>
      </c>
      <c r="G74" s="138"/>
      <c r="H74" s="138"/>
      <c r="I74" s="138"/>
      <c r="J74" s="138"/>
      <c r="K74" s="138"/>
      <c r="L74" s="29"/>
      <c r="M74" s="29"/>
      <c r="N74" s="29"/>
      <c r="O74" s="29"/>
      <c r="P74" s="2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customFormat="false" ht="14.9" hidden="false" customHeight="false" outlineLevel="0" collapsed="false">
      <c r="A75" s="107" t="s">
        <v>114</v>
      </c>
      <c r="B75" s="24" t="s">
        <v>57</v>
      </c>
      <c r="C75" s="23" t="n">
        <v>101165</v>
      </c>
      <c r="D75" s="25" t="s">
        <v>115</v>
      </c>
      <c r="E75" s="23" t="s">
        <v>49</v>
      </c>
      <c r="F75" s="26" t="n">
        <f aca="false">SUM(E76:E76)</f>
        <v>1.1457</v>
      </c>
      <c r="G75" s="138"/>
      <c r="H75" s="138"/>
      <c r="I75" s="138"/>
      <c r="J75" s="138"/>
      <c r="K75" s="138"/>
      <c r="L75" s="29"/>
      <c r="M75" s="29"/>
      <c r="N75" s="29"/>
      <c r="O75" s="29"/>
      <c r="P75" s="29"/>
    </row>
    <row r="76" customFormat="false" ht="14.25" hidden="false" customHeight="false" outlineLevel="0" collapsed="false">
      <c r="A76" s="107"/>
      <c r="B76" s="107"/>
      <c r="C76" s="107"/>
      <c r="D76" s="107"/>
      <c r="E76" s="123" t="n">
        <f aca="false">E66*0.45*0.19</f>
        <v>1.1457</v>
      </c>
      <c r="F76" s="23"/>
      <c r="G76" s="138"/>
      <c r="H76" s="138"/>
      <c r="I76" s="138"/>
      <c r="J76" s="138"/>
      <c r="K76" s="138"/>
      <c r="L76" s="29"/>
      <c r="M76" s="29"/>
      <c r="N76" s="29"/>
      <c r="O76" s="29"/>
      <c r="P76" s="29"/>
    </row>
    <row r="77" customFormat="false" ht="14.25" hidden="false" customHeight="false" outlineLevel="0" collapsed="false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29"/>
      <c r="M77" s="29"/>
      <c r="N77" s="29"/>
      <c r="O77" s="29"/>
      <c r="P77" s="29"/>
    </row>
    <row r="78" customFormat="false" ht="14.25" hidden="false" customHeight="false" outlineLevel="0" collapsed="false">
      <c r="A78" s="117" t="s">
        <v>607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29"/>
      <c r="M78" s="29"/>
      <c r="N78" s="29"/>
      <c r="O78" s="29"/>
      <c r="P78" s="29"/>
    </row>
    <row r="79" customFormat="false" ht="21.6" hidden="false" customHeight="false" outlineLevel="0" collapsed="false">
      <c r="A79" s="107" t="s">
        <v>117</v>
      </c>
      <c r="B79" s="24" t="s">
        <v>57</v>
      </c>
      <c r="C79" s="23" t="n">
        <v>92415</v>
      </c>
      <c r="D79" s="25" t="s">
        <v>118</v>
      </c>
      <c r="E79" s="23" t="s">
        <v>19</v>
      </c>
      <c r="F79" s="26" t="n">
        <f aca="false">J83</f>
        <v>20</v>
      </c>
      <c r="G79" s="109"/>
      <c r="H79" s="109"/>
      <c r="I79" s="109"/>
      <c r="J79" s="109"/>
      <c r="K79" s="109"/>
      <c r="L79" s="29"/>
      <c r="M79" s="29"/>
      <c r="N79" s="29"/>
      <c r="O79" s="29"/>
      <c r="P79" s="2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customFormat="false" ht="14.25" hidden="false" customHeight="false" outlineLevel="0" collapsed="false">
      <c r="A80" s="118" t="s">
        <v>834</v>
      </c>
      <c r="B80" s="118"/>
      <c r="C80" s="118"/>
      <c r="D80" s="135" t="s">
        <v>843</v>
      </c>
      <c r="E80" s="135"/>
      <c r="F80" s="135"/>
      <c r="G80" s="135"/>
      <c r="H80" s="135"/>
      <c r="I80" s="135"/>
      <c r="J80" s="135"/>
      <c r="K80" s="135"/>
    </row>
    <row r="81" customFormat="false" ht="14.25" hidden="false" customHeight="false" outlineLevel="0" collapsed="false">
      <c r="A81" s="120"/>
      <c r="B81" s="120"/>
      <c r="C81" s="120"/>
      <c r="D81" s="121" t="s">
        <v>836</v>
      </c>
      <c r="E81" s="121" t="s">
        <v>837</v>
      </c>
      <c r="F81" s="121" t="s">
        <v>857</v>
      </c>
      <c r="G81" s="121"/>
      <c r="H81" s="121" t="s">
        <v>858</v>
      </c>
      <c r="I81" s="121" t="s">
        <v>859</v>
      </c>
      <c r="J81" s="121" t="s">
        <v>840</v>
      </c>
      <c r="K81" s="139"/>
    </row>
    <row r="82" customFormat="false" ht="14.25" hidden="false" customHeight="false" outlineLevel="0" collapsed="false">
      <c r="A82" s="120"/>
      <c r="B82" s="120"/>
      <c r="C82" s="120"/>
      <c r="D82" s="123" t="s">
        <v>860</v>
      </c>
      <c r="E82" s="123" t="n">
        <v>8</v>
      </c>
      <c r="F82" s="123" t="n">
        <v>3</v>
      </c>
      <c r="G82" s="123"/>
      <c r="H82" s="123" t="n">
        <v>2</v>
      </c>
      <c r="I82" s="123" t="s">
        <v>861</v>
      </c>
      <c r="J82" s="123" t="n">
        <f aca="false">SUM(F82+H82)*0.25*E82*2</f>
        <v>20</v>
      </c>
      <c r="K82" s="140" t="n">
        <f aca="false">SUM(F82+H82)*E82*0.25*0.25</f>
        <v>2.5</v>
      </c>
    </row>
    <row r="83" customFormat="false" ht="14.25" hidden="false" customHeight="false" outlineLevel="0" collapsed="false">
      <c r="A83" s="120"/>
      <c r="B83" s="120"/>
      <c r="C83" s="120"/>
      <c r="D83" s="121" t="s">
        <v>840</v>
      </c>
      <c r="E83" s="121"/>
      <c r="F83" s="121"/>
      <c r="G83" s="121"/>
      <c r="H83" s="121"/>
      <c r="I83" s="121"/>
      <c r="J83" s="137" t="n">
        <f aca="false">SUM(J82:J82)</f>
        <v>20</v>
      </c>
      <c r="K83" s="137"/>
    </row>
    <row r="84" customFormat="false" ht="14.25" hidden="false" customHeight="false" outlineLevel="0" collapsed="false">
      <c r="A84" s="107" t="s">
        <v>119</v>
      </c>
      <c r="B84" s="24" t="s">
        <v>57</v>
      </c>
      <c r="C84" s="23" t="n">
        <v>92800</v>
      </c>
      <c r="D84" s="25" t="s">
        <v>102</v>
      </c>
      <c r="E84" s="23" t="s">
        <v>103</v>
      </c>
      <c r="F84" s="23" t="n">
        <f aca="false">SUM(K88+K473+K848+K854+K859+K864+K878+K883+K888+K893+K926+K931+K936+K940+K945)</f>
        <v>42.7093333333333</v>
      </c>
      <c r="G84" s="109"/>
      <c r="H84" s="109"/>
      <c r="I84" s="109"/>
      <c r="J84" s="109"/>
      <c r="K84" s="109"/>
      <c r="L84" s="29"/>
      <c r="M84" s="29"/>
      <c r="N84" s="29"/>
      <c r="O84" s="29"/>
      <c r="P84" s="29"/>
    </row>
    <row r="85" customFormat="false" ht="14.25" hidden="false" customHeight="false" outlineLevel="0" collapsed="false">
      <c r="A85" s="134"/>
      <c r="B85" s="134"/>
      <c r="C85" s="134"/>
      <c r="D85" s="131" t="s">
        <v>862</v>
      </c>
      <c r="E85" s="131" t="n">
        <f aca="false">SUM(F82+H82)*E82</f>
        <v>40</v>
      </c>
      <c r="F85" s="131"/>
      <c r="G85" s="131"/>
      <c r="H85" s="131"/>
      <c r="I85" s="131"/>
      <c r="J85" s="131"/>
      <c r="K85" s="126"/>
      <c r="L85" s="29"/>
      <c r="M85" s="29"/>
      <c r="N85" s="2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</row>
    <row r="86" customFormat="false" ht="14.25" hidden="false" customHeight="true" outlineLevel="0" collapsed="false">
      <c r="A86" s="134"/>
      <c r="B86" s="134"/>
      <c r="C86" s="134"/>
      <c r="D86" s="134"/>
      <c r="E86" s="131" t="s">
        <v>863</v>
      </c>
      <c r="F86" s="131"/>
      <c r="G86" s="131"/>
      <c r="H86" s="131"/>
      <c r="I86" s="131"/>
      <c r="J86" s="131"/>
      <c r="K86" s="132" t="n">
        <f aca="false">SUM(E85/0.15)</f>
        <v>266.666666666667</v>
      </c>
      <c r="L86" s="29"/>
      <c r="M86" s="29"/>
      <c r="N86" s="2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</row>
    <row r="87" customFormat="false" ht="14.25" hidden="false" customHeight="true" outlineLevel="0" collapsed="false">
      <c r="A87" s="134"/>
      <c r="B87" s="134"/>
      <c r="C87" s="134"/>
      <c r="D87" s="134"/>
      <c r="E87" s="131" t="s">
        <v>864</v>
      </c>
      <c r="F87" s="131"/>
      <c r="G87" s="131"/>
      <c r="H87" s="131"/>
      <c r="I87" s="131"/>
      <c r="J87" s="131"/>
      <c r="K87" s="132" t="n">
        <f aca="false">SUM(K86*1.04)</f>
        <v>277.333333333333</v>
      </c>
      <c r="L87" s="29"/>
      <c r="M87" s="29"/>
      <c r="N87" s="2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</row>
    <row r="88" customFormat="false" ht="14.25" hidden="false" customHeight="true" outlineLevel="0" collapsed="false">
      <c r="A88" s="134"/>
      <c r="B88" s="134"/>
      <c r="C88" s="134"/>
      <c r="D88" s="134"/>
      <c r="E88" s="131" t="s">
        <v>865</v>
      </c>
      <c r="F88" s="131"/>
      <c r="G88" s="131"/>
      <c r="H88" s="131"/>
      <c r="I88" s="131"/>
      <c r="J88" s="131"/>
      <c r="K88" s="133" t="n">
        <f aca="false">SUM(K87*0.154)</f>
        <v>42.7093333333333</v>
      </c>
      <c r="L88" s="29"/>
      <c r="M88" s="29"/>
      <c r="N88" s="2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</row>
    <row r="89" customFormat="false" ht="14.25" hidden="false" customHeight="false" outlineLevel="0" collapsed="false">
      <c r="A89" s="107" t="s">
        <v>120</v>
      </c>
      <c r="B89" s="24" t="s">
        <v>57</v>
      </c>
      <c r="C89" s="23" t="n">
        <v>92803</v>
      </c>
      <c r="D89" s="25" t="s">
        <v>105</v>
      </c>
      <c r="E89" s="23" t="s">
        <v>103</v>
      </c>
      <c r="F89" s="26" t="n">
        <f aca="false">SUM(K92+K472+K846+K851+K855+K859+K863+K876+K880+K884+K888+K892+K924+K928+K932)</f>
        <v>98.72</v>
      </c>
      <c r="G89" s="109"/>
      <c r="H89" s="109"/>
      <c r="I89" s="109"/>
      <c r="J89" s="109"/>
      <c r="K89" s="109"/>
      <c r="L89" s="29"/>
      <c r="M89" s="29"/>
      <c r="N89" s="29"/>
      <c r="O89" s="29"/>
      <c r="P89" s="2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customFormat="false" ht="14.25" hidden="false" customHeight="false" outlineLevel="0" collapsed="false">
      <c r="A90" s="134"/>
      <c r="B90" s="134"/>
      <c r="C90" s="134"/>
      <c r="D90" s="131" t="str">
        <f aca="false">D85</f>
        <v>PILARES DE 25 CM</v>
      </c>
      <c r="E90" s="131" t="n">
        <f aca="false">E85</f>
        <v>40</v>
      </c>
      <c r="F90" s="131"/>
      <c r="G90" s="131"/>
      <c r="H90" s="131"/>
      <c r="I90" s="131"/>
      <c r="J90" s="131"/>
      <c r="K90" s="130"/>
      <c r="L90" s="29"/>
      <c r="M90" s="29"/>
      <c r="N90" s="2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</row>
    <row r="91" customFormat="false" ht="14.25" hidden="false" customHeight="true" outlineLevel="0" collapsed="false">
      <c r="A91" s="134"/>
      <c r="B91" s="134"/>
      <c r="C91" s="134"/>
      <c r="D91" s="141"/>
      <c r="E91" s="131" t="s">
        <v>866</v>
      </c>
      <c r="F91" s="131"/>
      <c r="G91" s="131"/>
      <c r="H91" s="131"/>
      <c r="I91" s="131"/>
      <c r="J91" s="131"/>
      <c r="K91" s="132" t="n">
        <f aca="false">SUM(E90*4)</f>
        <v>160</v>
      </c>
      <c r="L91" s="29"/>
      <c r="M91" s="29"/>
      <c r="N91" s="2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</row>
    <row r="92" customFormat="false" ht="14.25" hidden="false" customHeight="true" outlineLevel="0" collapsed="false">
      <c r="A92" s="120"/>
      <c r="B92" s="120"/>
      <c r="C92" s="120"/>
      <c r="D92" s="120"/>
      <c r="E92" s="131" t="s">
        <v>867</v>
      </c>
      <c r="F92" s="131"/>
      <c r="G92" s="131"/>
      <c r="H92" s="131"/>
      <c r="I92" s="131"/>
      <c r="J92" s="131"/>
      <c r="K92" s="132" t="n">
        <f aca="false">SUM(K91*0.617)</f>
        <v>98.72</v>
      </c>
      <c r="L92" s="29"/>
      <c r="M92" s="29"/>
      <c r="N92" s="2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</row>
    <row r="93" customFormat="false" ht="14.9" hidden="false" customHeight="false" outlineLevel="0" collapsed="false">
      <c r="A93" s="107" t="s">
        <v>121</v>
      </c>
      <c r="B93" s="24" t="s">
        <v>57</v>
      </c>
      <c r="C93" s="23" t="n">
        <v>103672</v>
      </c>
      <c r="D93" s="25" t="s">
        <v>122</v>
      </c>
      <c r="E93" s="23" t="s">
        <v>49</v>
      </c>
      <c r="F93" s="26" t="n">
        <f aca="false">SUM(E85*0.25*0.25)</f>
        <v>2.5</v>
      </c>
      <c r="G93" s="138"/>
      <c r="H93" s="138"/>
      <c r="I93" s="138"/>
      <c r="J93" s="138"/>
      <c r="K93" s="138"/>
      <c r="L93" s="29"/>
      <c r="M93" s="29"/>
      <c r="N93" s="29"/>
      <c r="O93" s="29"/>
      <c r="P93" s="29"/>
    </row>
    <row r="94" customFormat="false" ht="21.6" hidden="false" customHeight="false" outlineLevel="0" collapsed="false">
      <c r="A94" s="107" t="s">
        <v>123</v>
      </c>
      <c r="B94" s="24" t="s">
        <v>57</v>
      </c>
      <c r="C94" s="23" t="n">
        <v>103324</v>
      </c>
      <c r="D94" s="25" t="s">
        <v>124</v>
      </c>
      <c r="E94" s="23" t="s">
        <v>19</v>
      </c>
      <c r="F94" s="26" t="n">
        <f aca="false">K99</f>
        <v>48.8</v>
      </c>
      <c r="G94" s="138"/>
      <c r="H94" s="138"/>
      <c r="I94" s="138"/>
      <c r="J94" s="138"/>
      <c r="K94" s="138"/>
      <c r="L94" s="29"/>
      <c r="M94" s="29"/>
      <c r="N94" s="29"/>
      <c r="O94" s="29"/>
      <c r="P94" s="29"/>
    </row>
    <row r="95" customFormat="false" ht="21.6" hidden="false" customHeight="false" outlineLevel="0" collapsed="false">
      <c r="A95" s="134"/>
      <c r="B95" s="134"/>
      <c r="C95" s="134"/>
      <c r="D95" s="142"/>
      <c r="E95" s="123" t="s">
        <v>868</v>
      </c>
      <c r="F95" s="143" t="s">
        <v>869</v>
      </c>
      <c r="G95" s="144" t="s">
        <v>870</v>
      </c>
      <c r="H95" s="144" t="s">
        <v>871</v>
      </c>
      <c r="I95" s="145" t="s">
        <v>872</v>
      </c>
      <c r="J95" s="144" t="s">
        <v>873</v>
      </c>
      <c r="K95" s="146" t="s">
        <v>874</v>
      </c>
    </row>
    <row r="96" customFormat="false" ht="14.25" hidden="false" customHeight="false" outlineLevel="0" collapsed="false">
      <c r="A96" s="134"/>
      <c r="B96" s="134"/>
      <c r="C96" s="134"/>
      <c r="D96" s="123" t="e">
        <f aca="false">#REF!</f>
        <v>#REF!</v>
      </c>
      <c r="E96" s="123" t="n">
        <v>2.3</v>
      </c>
      <c r="F96" s="143" t="n">
        <f aca="false">F82+H82</f>
        <v>5</v>
      </c>
      <c r="G96" s="123" t="n">
        <f aca="false">(0.15*2)*F96</f>
        <v>1.5</v>
      </c>
      <c r="H96" s="143" t="n">
        <f aca="false">1*1</f>
        <v>1</v>
      </c>
      <c r="I96" s="123" t="n">
        <f aca="false">SUM(E96*0.3)</f>
        <v>0.69</v>
      </c>
      <c r="J96" s="143" t="n">
        <f aca="false">G96+H96+I96</f>
        <v>3.19</v>
      </c>
      <c r="K96" s="147" t="n">
        <f aca="false">SUM(E96*F96)-(J96)</f>
        <v>8.31</v>
      </c>
    </row>
    <row r="97" customFormat="false" ht="14.25" hidden="false" customHeight="false" outlineLevel="0" collapsed="false">
      <c r="A97" s="134"/>
      <c r="B97" s="134"/>
      <c r="C97" s="134"/>
      <c r="D97" s="123"/>
      <c r="E97" s="123" t="n">
        <v>2.35</v>
      </c>
      <c r="F97" s="143" t="n">
        <v>5</v>
      </c>
      <c r="G97" s="123" t="n">
        <f aca="false">(0.3*2)*F97</f>
        <v>3</v>
      </c>
      <c r="H97" s="143" t="n">
        <v>0</v>
      </c>
      <c r="I97" s="123" t="n">
        <f aca="false">SUM(E97*0.3)</f>
        <v>0.705</v>
      </c>
      <c r="J97" s="143" t="n">
        <f aca="false">G97+H97+I97</f>
        <v>3.705</v>
      </c>
      <c r="K97" s="147" t="n">
        <f aca="false">SUM(E97*F97)-(J97)</f>
        <v>8.045</v>
      </c>
    </row>
    <row r="98" customFormat="false" ht="14.25" hidden="false" customHeight="false" outlineLevel="0" collapsed="false">
      <c r="A98" s="134"/>
      <c r="B98" s="134"/>
      <c r="C98" s="134"/>
      <c r="D98" s="123"/>
      <c r="E98" s="123" t="n">
        <v>2.35</v>
      </c>
      <c r="F98" s="143" t="n">
        <v>5</v>
      </c>
      <c r="G98" s="123" t="n">
        <f aca="false">(0.3*2)*F98</f>
        <v>3</v>
      </c>
      <c r="H98" s="143" t="n">
        <v>0</v>
      </c>
      <c r="I98" s="123" t="n">
        <f aca="false">SUM(E98*0.3)</f>
        <v>0.705</v>
      </c>
      <c r="J98" s="143" t="n">
        <f aca="false">G98+H98+I98</f>
        <v>3.705</v>
      </c>
      <c r="K98" s="147" t="n">
        <f aca="false">SUM(E98*F98)-(J98)</f>
        <v>8.045</v>
      </c>
    </row>
    <row r="99" customFormat="false" ht="14.25" hidden="false" customHeight="false" outlineLevel="0" collapsed="false">
      <c r="A99" s="134"/>
      <c r="B99" s="134"/>
      <c r="C99" s="134"/>
      <c r="D99" s="123"/>
      <c r="E99" s="123"/>
      <c r="F99" s="123"/>
      <c r="G99" s="123"/>
      <c r="H99" s="123"/>
      <c r="I99" s="123"/>
      <c r="J99" s="123"/>
      <c r="K99" s="147" t="n">
        <f aca="false">SUM(K96:K98)*2</f>
        <v>48.8</v>
      </c>
    </row>
    <row r="100" customFormat="false" ht="14.25" hidden="false" customHeight="false" outlineLevel="0" collapsed="false">
      <c r="A100" s="107" t="s">
        <v>125</v>
      </c>
      <c r="B100" s="24" t="s">
        <v>57</v>
      </c>
      <c r="C100" s="54" t="s">
        <v>126</v>
      </c>
      <c r="D100" s="25" t="s">
        <v>127</v>
      </c>
      <c r="E100" s="23" t="s">
        <v>24</v>
      </c>
      <c r="F100" s="26" t="n">
        <f aca="false">E103</f>
        <v>5.2</v>
      </c>
      <c r="G100" s="109"/>
      <c r="H100" s="109"/>
      <c r="I100" s="109"/>
      <c r="J100" s="109"/>
      <c r="K100" s="109"/>
      <c r="L100" s="29"/>
      <c r="M100" s="29"/>
      <c r="N100" s="29"/>
      <c r="O100" s="29"/>
      <c r="P100" s="29"/>
    </row>
    <row r="101" customFormat="false" ht="14.25" hidden="false" customHeight="false" outlineLevel="0" collapsed="false">
      <c r="A101" s="148"/>
      <c r="B101" s="148"/>
      <c r="C101" s="148"/>
      <c r="D101" s="136" t="s">
        <v>875</v>
      </c>
      <c r="E101" s="135" t="s">
        <v>876</v>
      </c>
      <c r="F101" s="135"/>
      <c r="G101" s="135"/>
      <c r="H101" s="135"/>
      <c r="I101" s="135"/>
      <c r="J101" s="135"/>
      <c r="K101" s="135"/>
      <c r="L101" s="29"/>
      <c r="M101" s="29"/>
      <c r="N101" s="29"/>
      <c r="O101" s="29"/>
      <c r="P101" s="29"/>
    </row>
    <row r="102" customFormat="false" ht="14.25" hidden="false" customHeight="false" outlineLevel="0" collapsed="false">
      <c r="A102" s="149"/>
      <c r="B102" s="149"/>
      <c r="C102" s="149"/>
      <c r="D102" s="149"/>
      <c r="E102" s="135" t="n">
        <f aca="false">SUM(1.3*2)*2</f>
        <v>5.2</v>
      </c>
      <c r="F102" s="135"/>
      <c r="G102" s="135"/>
      <c r="H102" s="135"/>
      <c r="I102" s="135"/>
      <c r="J102" s="135"/>
      <c r="K102" s="135"/>
      <c r="L102" s="29"/>
      <c r="M102" s="29"/>
      <c r="N102" s="29"/>
      <c r="O102" s="29"/>
      <c r="P102" s="29"/>
    </row>
    <row r="103" customFormat="false" ht="14.25" hidden="false" customHeight="false" outlineLevel="0" collapsed="false">
      <c r="A103" s="149" t="s">
        <v>851</v>
      </c>
      <c r="B103" s="149"/>
      <c r="C103" s="149"/>
      <c r="D103" s="149"/>
      <c r="E103" s="137" t="n">
        <f aca="false">E102</f>
        <v>5.2</v>
      </c>
      <c r="F103" s="137"/>
      <c r="G103" s="137"/>
      <c r="H103" s="137"/>
      <c r="I103" s="137"/>
      <c r="J103" s="137"/>
      <c r="K103" s="137"/>
    </row>
    <row r="104" customFormat="false" ht="21.6" hidden="false" customHeight="false" outlineLevel="0" collapsed="false">
      <c r="A104" s="107" t="s">
        <v>128</v>
      </c>
      <c r="B104" s="24" t="s">
        <v>57</v>
      </c>
      <c r="C104" s="23" t="n">
        <v>92451</v>
      </c>
      <c r="D104" s="25" t="s">
        <v>129</v>
      </c>
      <c r="E104" s="23" t="s">
        <v>19</v>
      </c>
      <c r="F104" s="26" t="n">
        <f aca="false">SUM(J107)</f>
        <v>8.4</v>
      </c>
      <c r="G104" s="109"/>
      <c r="H104" s="109"/>
      <c r="I104" s="109"/>
      <c r="J104" s="109"/>
      <c r="K104" s="109"/>
      <c r="L104" s="29"/>
      <c r="M104" s="29"/>
      <c r="N104" s="29"/>
      <c r="O104" s="29"/>
      <c r="P104" s="29"/>
    </row>
    <row r="105" customFormat="false" ht="14.25" hidden="false" customHeight="false" outlineLevel="0" collapsed="false">
      <c r="A105" s="150" t="s">
        <v>834</v>
      </c>
      <c r="B105" s="150"/>
      <c r="C105" s="150"/>
      <c r="D105" s="135" t="s">
        <v>843</v>
      </c>
      <c r="E105" s="135"/>
      <c r="F105" s="135"/>
      <c r="G105" s="135"/>
      <c r="H105" s="135"/>
      <c r="I105" s="135"/>
      <c r="J105" s="135"/>
      <c r="K105" s="135"/>
    </row>
    <row r="106" customFormat="false" ht="14.9" hidden="false" customHeight="false" outlineLevel="0" collapsed="false">
      <c r="A106" s="150" t="s">
        <v>877</v>
      </c>
      <c r="B106" s="150"/>
      <c r="C106" s="150"/>
      <c r="D106" s="150"/>
      <c r="E106" s="125" t="s">
        <v>876</v>
      </c>
      <c r="F106" s="125"/>
      <c r="G106" s="125"/>
      <c r="H106" s="121" t="s">
        <v>878</v>
      </c>
      <c r="I106" s="122" t="s">
        <v>879</v>
      </c>
      <c r="J106" s="151" t="s">
        <v>880</v>
      </c>
      <c r="K106" s="139"/>
    </row>
    <row r="107" customFormat="false" ht="14.25" hidden="false" customHeight="false" outlineLevel="0" collapsed="false">
      <c r="A107" s="149"/>
      <c r="B107" s="136"/>
      <c r="C107" s="136"/>
      <c r="D107" s="136"/>
      <c r="E107" s="123" t="n">
        <f aca="false">2*(2.35+2.35+2.3)</f>
        <v>14</v>
      </c>
      <c r="F107" s="123"/>
      <c r="G107" s="123"/>
      <c r="H107" s="123" t="n">
        <v>0.3</v>
      </c>
      <c r="I107" s="123" t="n">
        <v>0.25</v>
      </c>
      <c r="J107" s="123" t="n">
        <f aca="false">SUM(E107*H107)*2</f>
        <v>8.4</v>
      </c>
      <c r="K107" s="135"/>
    </row>
    <row r="108" customFormat="false" ht="14.25" hidden="false" customHeight="false" outlineLevel="0" collapsed="false">
      <c r="A108" s="107" t="s">
        <v>130</v>
      </c>
      <c r="B108" s="24" t="s">
        <v>57</v>
      </c>
      <c r="C108" s="23" t="n">
        <v>92800</v>
      </c>
      <c r="D108" s="25" t="s">
        <v>102</v>
      </c>
      <c r="E108" s="23" t="s">
        <v>103</v>
      </c>
      <c r="F108" s="23" t="n">
        <f aca="false">K114</f>
        <v>201.226666666667</v>
      </c>
      <c r="G108" s="109"/>
      <c r="H108" s="109"/>
      <c r="I108" s="109"/>
      <c r="J108" s="109"/>
      <c r="K108" s="109"/>
      <c r="L108" s="29"/>
      <c r="M108" s="29"/>
      <c r="N108" s="29"/>
      <c r="O108" s="29"/>
      <c r="P108" s="29"/>
    </row>
    <row r="109" customFormat="false" ht="14.25" hidden="false" customHeight="false" outlineLevel="0" collapsed="false">
      <c r="A109" s="150" t="s">
        <v>834</v>
      </c>
      <c r="B109" s="150"/>
      <c r="C109" s="150"/>
      <c r="D109" s="135" t="s">
        <v>843</v>
      </c>
      <c r="E109" s="135"/>
      <c r="F109" s="135"/>
      <c r="G109" s="135"/>
      <c r="H109" s="135"/>
      <c r="I109" s="135"/>
      <c r="J109" s="135"/>
      <c r="K109" s="135"/>
      <c r="XFD109" s="152"/>
    </row>
    <row r="110" customFormat="false" ht="14.25" hidden="false" customHeight="false" outlineLevel="0" collapsed="false">
      <c r="A110" s="120"/>
      <c r="B110" s="120"/>
      <c r="C110" s="120"/>
      <c r="D110" s="121" t="s">
        <v>881</v>
      </c>
      <c r="E110" s="135" t="n">
        <f aca="false">E107</f>
        <v>14</v>
      </c>
      <c r="F110" s="135"/>
      <c r="G110" s="135"/>
      <c r="H110" s="135"/>
      <c r="I110" s="135"/>
      <c r="J110" s="135"/>
      <c r="K110" s="135"/>
    </row>
    <row r="111" customFormat="false" ht="14.25" hidden="false" customHeight="false" outlineLevel="0" collapsed="false">
      <c r="A111" s="120"/>
      <c r="B111" s="120"/>
      <c r="C111" s="120"/>
      <c r="D111" s="153" t="s">
        <v>882</v>
      </c>
      <c r="E111" s="154" t="n">
        <f aca="false">E110</f>
        <v>14</v>
      </c>
      <c r="F111" s="154"/>
      <c r="G111" s="154"/>
      <c r="H111" s="154"/>
      <c r="I111" s="154"/>
      <c r="J111" s="154"/>
      <c r="K111" s="155"/>
      <c r="L111" s="29"/>
      <c r="M111" s="29"/>
      <c r="N111" s="2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</row>
    <row r="112" s="46" customFormat="true" ht="14.25" hidden="false" customHeight="true" outlineLevel="0" collapsed="false">
      <c r="A112" s="120"/>
      <c r="B112" s="120"/>
      <c r="C112" s="120"/>
      <c r="D112" s="136" t="n">
        <f aca="false">E107</f>
        <v>14</v>
      </c>
      <c r="E112" s="153" t="s">
        <v>863</v>
      </c>
      <c r="F112" s="153"/>
      <c r="G112" s="153"/>
      <c r="H112" s="153"/>
      <c r="I112" s="153"/>
      <c r="J112" s="153"/>
      <c r="K112" s="137" t="n">
        <f aca="false">SUM(E111/0.15)</f>
        <v>93.3333333333333</v>
      </c>
      <c r="L112" s="29"/>
      <c r="M112" s="29"/>
      <c r="N112" s="2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XFD112" s="14"/>
    </row>
    <row r="113" customFormat="false" ht="14.25" hidden="false" customHeight="true" outlineLevel="0" collapsed="false">
      <c r="A113" s="120"/>
      <c r="B113" s="120"/>
      <c r="C113" s="120"/>
      <c r="D113" s="156"/>
      <c r="E113" s="153" t="s">
        <v>864</v>
      </c>
      <c r="F113" s="153"/>
      <c r="G113" s="153"/>
      <c r="H113" s="153"/>
      <c r="I113" s="153"/>
      <c r="J113" s="153"/>
      <c r="K113" s="137" t="n">
        <f aca="false">SUM(K112*D112)</f>
        <v>1306.66666666667</v>
      </c>
      <c r="L113" s="29"/>
      <c r="M113" s="29"/>
      <c r="N113" s="2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</row>
    <row r="114" customFormat="false" ht="14.25" hidden="false" customHeight="true" outlineLevel="0" collapsed="false">
      <c r="A114" s="120"/>
      <c r="B114" s="120"/>
      <c r="C114" s="120"/>
      <c r="D114" s="156"/>
      <c r="E114" s="153" t="s">
        <v>865</v>
      </c>
      <c r="F114" s="153"/>
      <c r="G114" s="153"/>
      <c r="H114" s="153"/>
      <c r="I114" s="153"/>
      <c r="J114" s="153"/>
      <c r="K114" s="135" t="n">
        <f aca="false">SUM(K113*0.154)</f>
        <v>201.226666666667</v>
      </c>
      <c r="L114" s="29"/>
      <c r="M114" s="29"/>
      <c r="N114" s="2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</row>
    <row r="115" customFormat="false" ht="14.25" hidden="false" customHeight="false" outlineLevel="0" collapsed="false">
      <c r="A115" s="107" t="s">
        <v>131</v>
      </c>
      <c r="B115" s="24" t="s">
        <v>57</v>
      </c>
      <c r="C115" s="23" t="n">
        <v>92803</v>
      </c>
      <c r="D115" s="25" t="s">
        <v>105</v>
      </c>
      <c r="E115" s="23" t="s">
        <v>103</v>
      </c>
      <c r="F115" s="26" t="n">
        <f aca="false">K118</f>
        <v>34.552</v>
      </c>
      <c r="G115" s="109"/>
      <c r="H115" s="109"/>
      <c r="I115" s="109"/>
      <c r="J115" s="109"/>
      <c r="K115" s="109"/>
      <c r="L115" s="29"/>
      <c r="M115" s="29"/>
      <c r="N115" s="29"/>
      <c r="O115" s="29"/>
      <c r="P115" s="2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customFormat="false" ht="14.25" hidden="false" customHeight="false" outlineLevel="0" collapsed="false">
      <c r="A116" s="157"/>
      <c r="B116" s="157"/>
      <c r="C116" s="157"/>
      <c r="D116" s="131" t="s">
        <v>883</v>
      </c>
      <c r="E116" s="131" t="n">
        <f aca="false">E107</f>
        <v>14</v>
      </c>
      <c r="F116" s="131"/>
      <c r="G116" s="131"/>
      <c r="H116" s="131"/>
      <c r="I116" s="131"/>
      <c r="J116" s="131"/>
      <c r="K116" s="130"/>
      <c r="L116" s="29"/>
      <c r="M116" s="29"/>
      <c r="N116" s="2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</row>
    <row r="117" customFormat="false" ht="14.25" hidden="false" customHeight="true" outlineLevel="0" collapsed="false">
      <c r="A117" s="148"/>
      <c r="B117" s="148"/>
      <c r="C117" s="148"/>
      <c r="D117" s="141"/>
      <c r="E117" s="131" t="s">
        <v>866</v>
      </c>
      <c r="F117" s="131"/>
      <c r="G117" s="131"/>
      <c r="H117" s="131"/>
      <c r="I117" s="131"/>
      <c r="J117" s="131"/>
      <c r="K117" s="132" t="n">
        <f aca="false">SUM(E116*4)</f>
        <v>56</v>
      </c>
      <c r="L117" s="29"/>
      <c r="M117" s="29"/>
      <c r="N117" s="2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</row>
    <row r="118" customFormat="false" ht="14.25" hidden="false" customHeight="true" outlineLevel="0" collapsed="false">
      <c r="A118" s="157"/>
      <c r="B118" s="157"/>
      <c r="C118" s="157"/>
      <c r="D118" s="157"/>
      <c r="E118" s="131" t="s">
        <v>867</v>
      </c>
      <c r="F118" s="131"/>
      <c r="G118" s="131"/>
      <c r="H118" s="131"/>
      <c r="I118" s="131"/>
      <c r="J118" s="131"/>
      <c r="K118" s="132" t="n">
        <f aca="false">SUM(K117*0.617)</f>
        <v>34.552</v>
      </c>
      <c r="L118" s="29"/>
      <c r="M118" s="29"/>
      <c r="N118" s="2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</row>
    <row r="119" customFormat="false" ht="14.25" hidden="false" customHeight="false" outlineLevel="0" collapsed="false">
      <c r="A119" s="107" t="s">
        <v>132</v>
      </c>
      <c r="B119" s="24" t="s">
        <v>57</v>
      </c>
      <c r="C119" s="23" t="n">
        <v>92804</v>
      </c>
      <c r="D119" s="25" t="s">
        <v>133</v>
      </c>
      <c r="E119" s="23" t="s">
        <v>103</v>
      </c>
      <c r="F119" s="26" t="n">
        <f aca="false">K122</f>
        <v>26.964</v>
      </c>
      <c r="G119" s="109"/>
      <c r="H119" s="109"/>
      <c r="I119" s="109"/>
      <c r="J119" s="109"/>
      <c r="K119" s="109"/>
      <c r="L119" s="29"/>
      <c r="M119" s="29"/>
      <c r="N119" s="29"/>
      <c r="O119" s="29"/>
      <c r="P119" s="2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customFormat="false" ht="14.25" hidden="false" customHeight="false" outlineLevel="0" collapsed="false">
      <c r="A120" s="157"/>
      <c r="B120" s="157"/>
      <c r="C120" s="157"/>
      <c r="D120" s="131" t="s">
        <v>883</v>
      </c>
      <c r="E120" s="131" t="n">
        <f aca="false">E116</f>
        <v>14</v>
      </c>
      <c r="F120" s="131"/>
      <c r="G120" s="131"/>
      <c r="H120" s="131"/>
      <c r="I120" s="131"/>
      <c r="J120" s="131"/>
      <c r="K120" s="130"/>
      <c r="L120" s="29"/>
      <c r="M120" s="29"/>
      <c r="N120" s="2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</row>
    <row r="121" customFormat="false" ht="14.25" hidden="false" customHeight="true" outlineLevel="0" collapsed="false">
      <c r="A121" s="148"/>
      <c r="B121" s="148"/>
      <c r="C121" s="148"/>
      <c r="D121" s="141"/>
      <c r="E121" s="131" t="s">
        <v>884</v>
      </c>
      <c r="F121" s="131"/>
      <c r="G121" s="131"/>
      <c r="H121" s="131"/>
      <c r="I121" s="131"/>
      <c r="J121" s="131"/>
      <c r="K121" s="132" t="n">
        <f aca="false">SUM(E120*2)</f>
        <v>28</v>
      </c>
      <c r="L121" s="29"/>
      <c r="M121" s="29"/>
      <c r="N121" s="2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</row>
    <row r="122" customFormat="false" ht="14.25" hidden="false" customHeight="true" outlineLevel="0" collapsed="false">
      <c r="A122" s="157"/>
      <c r="B122" s="157"/>
      <c r="C122" s="157"/>
      <c r="D122" s="157"/>
      <c r="E122" s="131" t="s">
        <v>867</v>
      </c>
      <c r="F122" s="131"/>
      <c r="G122" s="131"/>
      <c r="H122" s="131"/>
      <c r="I122" s="131"/>
      <c r="J122" s="131"/>
      <c r="K122" s="132" t="n">
        <f aca="false">SUM(K121*0.963)</f>
        <v>26.964</v>
      </c>
      <c r="L122" s="29"/>
      <c r="M122" s="29"/>
      <c r="N122" s="2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</row>
    <row r="123" customFormat="false" ht="14.9" hidden="false" customHeight="false" outlineLevel="0" collapsed="false">
      <c r="A123" s="107" t="s">
        <v>134</v>
      </c>
      <c r="B123" s="24" t="s">
        <v>57</v>
      </c>
      <c r="C123" s="23" t="n">
        <v>103675</v>
      </c>
      <c r="D123" s="25" t="s">
        <v>135</v>
      </c>
      <c r="E123" s="23" t="s">
        <v>49</v>
      </c>
      <c r="F123" s="26" t="n">
        <f aca="false">SUM(E125:E125)</f>
        <v>1.05</v>
      </c>
      <c r="G123" s="109"/>
      <c r="H123" s="109"/>
      <c r="I123" s="109"/>
      <c r="J123" s="109"/>
      <c r="K123" s="109"/>
      <c r="L123" s="29"/>
      <c r="M123" s="29"/>
      <c r="N123" s="29"/>
      <c r="O123" s="29"/>
      <c r="P123" s="29"/>
    </row>
    <row r="124" customFormat="false" ht="14.25" hidden="false" customHeight="false" outlineLevel="0" collapsed="false">
      <c r="A124" s="150" t="s">
        <v>834</v>
      </c>
      <c r="B124" s="150"/>
      <c r="C124" s="150"/>
      <c r="D124" s="135" t="s">
        <v>885</v>
      </c>
      <c r="E124" s="135"/>
      <c r="F124" s="135"/>
      <c r="G124" s="135"/>
      <c r="H124" s="135"/>
      <c r="I124" s="135"/>
      <c r="J124" s="135"/>
      <c r="K124" s="135"/>
    </row>
    <row r="125" customFormat="false" ht="14.25" hidden="false" customHeight="false" outlineLevel="0" collapsed="false">
      <c r="A125" s="158"/>
      <c r="B125" s="156"/>
      <c r="C125" s="156"/>
      <c r="D125" s="123" t="s">
        <v>886</v>
      </c>
      <c r="E125" s="123" t="n">
        <f aca="false">SUM(E107*0.25*0.3)</f>
        <v>1.05</v>
      </c>
      <c r="F125" s="153"/>
      <c r="G125" s="153"/>
      <c r="H125" s="153"/>
      <c r="I125" s="153"/>
      <c r="J125" s="153"/>
      <c r="K125" s="137"/>
    </row>
    <row r="126" customFormat="false" ht="14.9" hidden="false" customHeight="false" outlineLevel="0" collapsed="false">
      <c r="A126" s="159" t="s">
        <v>136</v>
      </c>
      <c r="B126" s="55" t="s">
        <v>26</v>
      </c>
      <c r="C126" s="48" t="s">
        <v>137</v>
      </c>
      <c r="D126" s="49" t="s">
        <v>138</v>
      </c>
      <c r="E126" s="48" t="s">
        <v>19</v>
      </c>
      <c r="F126" s="50" t="n">
        <f aca="false">4.4*2</f>
        <v>8.8</v>
      </c>
      <c r="G126" s="160"/>
      <c r="H126" s="160"/>
      <c r="I126" s="160"/>
      <c r="J126" s="160"/>
      <c r="K126" s="160"/>
      <c r="L126" s="52"/>
      <c r="M126" s="52"/>
      <c r="N126" s="52"/>
      <c r="O126" s="52"/>
      <c r="P126" s="52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</row>
    <row r="127" customFormat="false" ht="14.25" hidden="false" customHeight="false" outlineLevel="0" collapsed="false">
      <c r="A127" s="117" t="s">
        <v>139</v>
      </c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29"/>
      <c r="M127" s="29"/>
      <c r="N127" s="29"/>
      <c r="O127" s="29"/>
      <c r="P127" s="29"/>
    </row>
    <row r="128" customFormat="false" ht="14.9" hidden="false" customHeight="false" outlineLevel="0" collapsed="false">
      <c r="A128" s="107" t="s">
        <v>140</v>
      </c>
      <c r="B128" s="24" t="s">
        <v>57</v>
      </c>
      <c r="C128" s="23" t="n">
        <v>92602</v>
      </c>
      <c r="D128" s="25" t="s">
        <v>141</v>
      </c>
      <c r="E128" s="23" t="s">
        <v>39</v>
      </c>
      <c r="F128" s="26" t="n">
        <v>4</v>
      </c>
      <c r="G128" s="138"/>
      <c r="H128" s="138"/>
      <c r="I128" s="138"/>
      <c r="J128" s="138"/>
      <c r="K128" s="138"/>
      <c r="L128" s="29"/>
      <c r="M128" s="29"/>
      <c r="N128" s="29"/>
      <c r="O128" s="29"/>
      <c r="P128" s="29"/>
    </row>
    <row r="129" customFormat="false" ht="14.9" hidden="false" customHeight="false" outlineLevel="0" collapsed="false">
      <c r="A129" s="107" t="s">
        <v>142</v>
      </c>
      <c r="B129" s="24" t="s">
        <v>57</v>
      </c>
      <c r="C129" s="23" t="n">
        <v>92580</v>
      </c>
      <c r="D129" s="25" t="s">
        <v>143</v>
      </c>
      <c r="E129" s="23" t="s">
        <v>19</v>
      </c>
      <c r="F129" s="26" t="n">
        <f aca="false">4.4*2</f>
        <v>8.8</v>
      </c>
      <c r="G129" s="138"/>
      <c r="H129" s="138"/>
      <c r="I129" s="138"/>
      <c r="J129" s="138"/>
      <c r="K129" s="138"/>
      <c r="L129" s="29"/>
      <c r="M129" s="29"/>
      <c r="N129" s="29"/>
      <c r="O129" s="29"/>
      <c r="P129" s="29"/>
    </row>
    <row r="130" customFormat="false" ht="14.9" hidden="false" customHeight="false" outlineLevel="0" collapsed="false">
      <c r="A130" s="107" t="s">
        <v>144</v>
      </c>
      <c r="B130" s="31" t="s">
        <v>26</v>
      </c>
      <c r="C130" s="23" t="s">
        <v>145</v>
      </c>
      <c r="D130" s="25" t="s">
        <v>146</v>
      </c>
      <c r="E130" s="23" t="s">
        <v>19</v>
      </c>
      <c r="F130" s="26" t="n">
        <f aca="false">4.4*2</f>
        <v>8.8</v>
      </c>
      <c r="G130" s="138"/>
      <c r="H130" s="138"/>
      <c r="I130" s="138"/>
      <c r="J130" s="138"/>
      <c r="K130" s="138"/>
      <c r="L130" s="56"/>
      <c r="M130" s="56"/>
      <c r="N130" s="56"/>
      <c r="O130" s="56"/>
      <c r="P130" s="56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</row>
    <row r="131" customFormat="false" ht="14.25" hidden="false" customHeight="false" outlineLevel="0" collapsed="false">
      <c r="A131" s="107" t="s">
        <v>147</v>
      </c>
      <c r="B131" s="45" t="s">
        <v>21</v>
      </c>
      <c r="C131" s="23" t="s">
        <v>148</v>
      </c>
      <c r="D131" s="25" t="s">
        <v>149</v>
      </c>
      <c r="E131" s="23" t="s">
        <v>24</v>
      </c>
      <c r="F131" s="26" t="n">
        <f aca="false">(2.3*2)</f>
        <v>4.6</v>
      </c>
      <c r="G131" s="138"/>
      <c r="H131" s="138"/>
      <c r="I131" s="138"/>
      <c r="J131" s="138"/>
      <c r="K131" s="138"/>
      <c r="L131" s="29"/>
      <c r="M131" s="29"/>
      <c r="N131" s="29"/>
      <c r="O131" s="29"/>
      <c r="P131" s="29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</row>
    <row r="132" customFormat="false" ht="14.25" hidden="false" customHeight="false" outlineLevel="0" collapsed="false">
      <c r="A132" s="107" t="s">
        <v>150</v>
      </c>
      <c r="B132" s="45" t="s">
        <v>21</v>
      </c>
      <c r="C132" s="23" t="s">
        <v>151</v>
      </c>
      <c r="D132" s="25" t="s">
        <v>152</v>
      </c>
      <c r="E132" s="23" t="s">
        <v>24</v>
      </c>
      <c r="F132" s="26" t="n">
        <f aca="false">2*(2.3*2)*3</f>
        <v>27.6</v>
      </c>
      <c r="G132" s="138"/>
      <c r="H132" s="138"/>
      <c r="I132" s="138"/>
      <c r="J132" s="138"/>
      <c r="K132" s="138"/>
      <c r="L132" s="29"/>
      <c r="M132" s="29"/>
      <c r="N132" s="29"/>
      <c r="O132" s="29"/>
      <c r="P132" s="29"/>
    </row>
    <row r="133" customFormat="false" ht="14.9" hidden="false" customHeight="false" outlineLevel="0" collapsed="false">
      <c r="A133" s="107" t="s">
        <v>153</v>
      </c>
      <c r="B133" s="24" t="s">
        <v>57</v>
      </c>
      <c r="C133" s="23" t="n">
        <v>94231</v>
      </c>
      <c r="D133" s="25" t="s">
        <v>154</v>
      </c>
      <c r="E133" s="23" t="s">
        <v>24</v>
      </c>
      <c r="F133" s="26" t="n">
        <f aca="false">2.35*4</f>
        <v>9.4</v>
      </c>
      <c r="G133" s="138"/>
      <c r="H133" s="138"/>
      <c r="I133" s="138"/>
      <c r="J133" s="138"/>
      <c r="K133" s="138"/>
      <c r="L133" s="29"/>
      <c r="M133" s="29"/>
      <c r="N133" s="29"/>
      <c r="O133" s="29"/>
      <c r="P133" s="29"/>
    </row>
    <row r="134" customFormat="false" ht="14.25" hidden="false" customHeight="false" outlineLevel="0" collapsed="false">
      <c r="A134" s="117" t="s">
        <v>155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29"/>
      <c r="M134" s="29"/>
      <c r="N134" s="29"/>
      <c r="O134" s="29"/>
      <c r="P134" s="29"/>
    </row>
    <row r="135" customFormat="false" ht="14.9" hidden="false" customHeight="false" outlineLevel="0" collapsed="false">
      <c r="A135" s="107" t="s">
        <v>156</v>
      </c>
      <c r="B135" s="24" t="s">
        <v>57</v>
      </c>
      <c r="C135" s="23" t="n">
        <v>87879</v>
      </c>
      <c r="D135" s="25" t="s">
        <v>157</v>
      </c>
      <c r="E135" s="23" t="s">
        <v>19</v>
      </c>
      <c r="F135" s="26" t="n">
        <f aca="false">SUM(F136:F138)*2</f>
        <v>125.2</v>
      </c>
      <c r="G135" s="138"/>
      <c r="H135" s="138"/>
      <c r="I135" s="138"/>
      <c r="J135" s="138"/>
      <c r="K135" s="138"/>
      <c r="L135" s="29"/>
      <c r="M135" s="29"/>
      <c r="N135" s="29"/>
      <c r="O135" s="29"/>
      <c r="P135" s="2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customFormat="false" ht="14.25" hidden="false" customHeight="true" outlineLevel="0" collapsed="false">
      <c r="A136" s="107"/>
      <c r="B136" s="107"/>
      <c r="C136" s="107"/>
      <c r="D136" s="153" t="s">
        <v>887</v>
      </c>
      <c r="E136" s="153"/>
      <c r="F136" s="143" t="n">
        <f aca="false">(2.35*2)*5+(2.3*5)-(1*1)</f>
        <v>34</v>
      </c>
      <c r="G136" s="138"/>
      <c r="H136" s="138"/>
      <c r="I136" s="138"/>
      <c r="J136" s="138"/>
      <c r="K136" s="138"/>
      <c r="L136" s="29"/>
      <c r="M136" s="29"/>
      <c r="N136" s="29"/>
      <c r="O136" s="29"/>
      <c r="P136" s="2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customFormat="false" ht="14.25" hidden="false" customHeight="true" outlineLevel="0" collapsed="false">
      <c r="A137" s="107"/>
      <c r="B137" s="107"/>
      <c r="C137" s="107"/>
      <c r="D137" s="153" t="s">
        <v>888</v>
      </c>
      <c r="E137" s="153"/>
      <c r="F137" s="143" t="n">
        <f aca="false">(2*3)*2+(2.2*2)*3-(1*1)</f>
        <v>24.2</v>
      </c>
      <c r="G137" s="138"/>
      <c r="H137" s="138"/>
      <c r="I137" s="138"/>
      <c r="J137" s="138"/>
      <c r="K137" s="138"/>
      <c r="L137" s="29"/>
      <c r="M137" s="29"/>
      <c r="N137" s="29"/>
      <c r="O137" s="29"/>
      <c r="P137" s="2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customFormat="false" ht="14.25" hidden="false" customHeight="true" outlineLevel="0" collapsed="false">
      <c r="A138" s="107"/>
      <c r="B138" s="107"/>
      <c r="C138" s="107"/>
      <c r="D138" s="153" t="s">
        <v>889</v>
      </c>
      <c r="E138" s="153"/>
      <c r="F138" s="143" t="n">
        <v>4.4</v>
      </c>
      <c r="G138" s="138"/>
      <c r="H138" s="138"/>
      <c r="I138" s="138"/>
      <c r="J138" s="138"/>
      <c r="K138" s="138"/>
      <c r="L138" s="29"/>
      <c r="M138" s="29"/>
      <c r="N138" s="29"/>
      <c r="O138" s="29"/>
      <c r="P138" s="2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customFormat="false" ht="14.25" hidden="false" customHeight="false" outlineLevel="0" collapsed="false">
      <c r="A139" s="107" t="s">
        <v>158</v>
      </c>
      <c r="B139" s="31" t="s">
        <v>26</v>
      </c>
      <c r="C139" s="23" t="s">
        <v>159</v>
      </c>
      <c r="D139" s="25" t="s">
        <v>160</v>
      </c>
      <c r="E139" s="23" t="s">
        <v>19</v>
      </c>
      <c r="F139" s="26" t="n">
        <f aca="false">F135</f>
        <v>125.2</v>
      </c>
      <c r="G139" s="138"/>
      <c r="H139" s="138"/>
      <c r="I139" s="138"/>
      <c r="J139" s="138"/>
      <c r="K139" s="138"/>
      <c r="L139" s="29"/>
      <c r="M139" s="29"/>
      <c r="N139" s="29"/>
      <c r="O139" s="29"/>
      <c r="P139" s="2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customFormat="false" ht="14.25" hidden="false" customHeight="false" outlineLevel="0" collapsed="false">
      <c r="A140" s="107" t="s">
        <v>161</v>
      </c>
      <c r="B140" s="31" t="s">
        <v>26</v>
      </c>
      <c r="C140" s="23" t="s">
        <v>162</v>
      </c>
      <c r="D140" s="25" t="s">
        <v>163</v>
      </c>
      <c r="E140" s="23" t="s">
        <v>19</v>
      </c>
      <c r="F140" s="26" t="n">
        <f aca="false">(F136+F138)*2</f>
        <v>76.8</v>
      </c>
      <c r="G140" s="138"/>
      <c r="H140" s="138"/>
      <c r="I140" s="138"/>
      <c r="J140" s="138"/>
      <c r="K140" s="138"/>
      <c r="L140" s="29"/>
      <c r="M140" s="29"/>
      <c r="N140" s="29"/>
      <c r="O140" s="29"/>
      <c r="P140" s="2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customFormat="false" ht="14.9" hidden="false" customHeight="false" outlineLevel="0" collapsed="false">
      <c r="A141" s="107" t="s">
        <v>164</v>
      </c>
      <c r="B141" s="31" t="s">
        <v>26</v>
      </c>
      <c r="C141" s="23" t="s">
        <v>165</v>
      </c>
      <c r="D141" s="25" t="s">
        <v>166</v>
      </c>
      <c r="E141" s="23" t="s">
        <v>19</v>
      </c>
      <c r="F141" s="26" t="n">
        <f aca="false">F137*2</f>
        <v>48.4</v>
      </c>
      <c r="G141" s="138"/>
      <c r="H141" s="138"/>
      <c r="I141" s="138"/>
      <c r="J141" s="138"/>
      <c r="K141" s="138"/>
      <c r="L141" s="29"/>
      <c r="M141" s="29"/>
      <c r="N141" s="29"/>
      <c r="O141" s="29"/>
      <c r="P141" s="2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customFormat="false" ht="14.9" hidden="false" customHeight="false" outlineLevel="0" collapsed="false">
      <c r="A142" s="107" t="s">
        <v>167</v>
      </c>
      <c r="B142" s="24" t="s">
        <v>57</v>
      </c>
      <c r="C142" s="23" t="n">
        <v>88411</v>
      </c>
      <c r="D142" s="25" t="s">
        <v>168</v>
      </c>
      <c r="E142" s="23" t="s">
        <v>19</v>
      </c>
      <c r="F142" s="36" t="n">
        <f aca="false">F140</f>
        <v>76.8</v>
      </c>
      <c r="G142" s="138"/>
      <c r="H142" s="138"/>
      <c r="I142" s="138"/>
      <c r="J142" s="138"/>
      <c r="K142" s="138"/>
    </row>
    <row r="143" customFormat="false" ht="14.25" hidden="false" customHeight="false" outlineLevel="0" collapsed="false">
      <c r="A143" s="107" t="s">
        <v>169</v>
      </c>
      <c r="B143" s="24" t="s">
        <v>57</v>
      </c>
      <c r="C143" s="23" t="n">
        <v>88484</v>
      </c>
      <c r="D143" s="25" t="s">
        <v>170</v>
      </c>
      <c r="E143" s="23" t="s">
        <v>19</v>
      </c>
      <c r="F143" s="36" t="n">
        <f aca="false">F140</f>
        <v>76.8</v>
      </c>
      <c r="G143" s="138"/>
      <c r="H143" s="138"/>
      <c r="I143" s="138"/>
      <c r="J143" s="138"/>
      <c r="K143" s="138"/>
    </row>
    <row r="144" customFormat="false" ht="14.25" hidden="false" customHeight="false" outlineLevel="0" collapsed="false">
      <c r="A144" s="107" t="s">
        <v>171</v>
      </c>
      <c r="B144" s="24" t="s">
        <v>57</v>
      </c>
      <c r="C144" s="23" t="n">
        <v>88489</v>
      </c>
      <c r="D144" s="25" t="s">
        <v>172</v>
      </c>
      <c r="E144" s="23" t="s">
        <v>19</v>
      </c>
      <c r="F144" s="26" t="n">
        <f aca="false">F140</f>
        <v>76.8</v>
      </c>
      <c r="G144" s="138"/>
      <c r="H144" s="138"/>
      <c r="I144" s="138"/>
      <c r="J144" s="138"/>
      <c r="K144" s="138"/>
      <c r="L144" s="29"/>
      <c r="M144" s="29"/>
      <c r="N144" s="29"/>
      <c r="O144" s="29"/>
      <c r="P144" s="2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customFormat="false" ht="14.25" hidden="false" customHeight="false" outlineLevel="0" collapsed="false">
      <c r="A145" s="117" t="s">
        <v>173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29"/>
      <c r="M145" s="29"/>
      <c r="N145" s="29"/>
      <c r="O145" s="29"/>
      <c r="P145" s="29"/>
    </row>
    <row r="146" customFormat="false" ht="14.9" hidden="false" customHeight="true" outlineLevel="0" collapsed="false">
      <c r="A146" s="107" t="s">
        <v>174</v>
      </c>
      <c r="B146" s="24" t="s">
        <v>64</v>
      </c>
      <c r="C146" s="23" t="n">
        <v>96624</v>
      </c>
      <c r="D146" s="25" t="s">
        <v>175</v>
      </c>
      <c r="E146" s="23" t="s">
        <v>49</v>
      </c>
      <c r="F146" s="26" t="n">
        <f aca="false">(4.4*2)*0.03</f>
        <v>0.264</v>
      </c>
      <c r="G146" s="109" t="s">
        <v>890</v>
      </c>
      <c r="H146" s="109"/>
      <c r="I146" s="109"/>
      <c r="J146" s="109"/>
      <c r="K146" s="109"/>
      <c r="L146" s="29"/>
      <c r="M146" s="42"/>
      <c r="N146" s="29"/>
      <c r="O146" s="29"/>
      <c r="P146" s="29"/>
    </row>
    <row r="147" customFormat="false" ht="14.25" hidden="false" customHeight="false" outlineLevel="0" collapsed="false">
      <c r="A147" s="107" t="s">
        <v>176</v>
      </c>
      <c r="B147" s="24" t="s">
        <v>64</v>
      </c>
      <c r="C147" s="23" t="n">
        <v>97113</v>
      </c>
      <c r="D147" s="25" t="s">
        <v>65</v>
      </c>
      <c r="E147" s="23" t="s">
        <v>19</v>
      </c>
      <c r="F147" s="26" t="n">
        <f aca="false">4.4*2</f>
        <v>8.8</v>
      </c>
      <c r="G147" s="109"/>
      <c r="H147" s="109"/>
      <c r="I147" s="109"/>
      <c r="J147" s="109"/>
      <c r="K147" s="109"/>
      <c r="L147" s="29"/>
      <c r="M147" s="42"/>
      <c r="N147" s="29"/>
      <c r="O147" s="29"/>
      <c r="P147" s="29"/>
    </row>
    <row r="148" customFormat="false" ht="14.25" hidden="false" customHeight="false" outlineLevel="0" collapsed="false">
      <c r="A148" s="107" t="s">
        <v>177</v>
      </c>
      <c r="B148" s="30" t="s">
        <v>21</v>
      </c>
      <c r="C148" s="23" t="s">
        <v>178</v>
      </c>
      <c r="D148" s="25" t="s">
        <v>179</v>
      </c>
      <c r="E148" s="23" t="s">
        <v>19</v>
      </c>
      <c r="F148" s="26" t="n">
        <f aca="false">F147</f>
        <v>8.8</v>
      </c>
      <c r="G148" s="109"/>
      <c r="H148" s="109"/>
      <c r="I148" s="109"/>
      <c r="J148" s="109"/>
      <c r="K148" s="109"/>
      <c r="L148" s="29"/>
      <c r="M148" s="42"/>
      <c r="N148" s="29"/>
      <c r="O148" s="29"/>
      <c r="P148" s="29"/>
    </row>
    <row r="149" customFormat="false" ht="14.9" hidden="false" customHeight="false" outlineLevel="0" collapsed="false">
      <c r="A149" s="107" t="s">
        <v>180</v>
      </c>
      <c r="B149" s="24" t="s">
        <v>64</v>
      </c>
      <c r="C149" s="23" t="n">
        <v>88472</v>
      </c>
      <c r="D149" s="25" t="s">
        <v>181</v>
      </c>
      <c r="E149" s="23" t="s">
        <v>19</v>
      </c>
      <c r="F149" s="26" t="n">
        <f aca="false">F148</f>
        <v>8.8</v>
      </c>
      <c r="G149" s="109"/>
      <c r="H149" s="109"/>
      <c r="I149" s="109"/>
      <c r="J149" s="109"/>
      <c r="K149" s="109"/>
      <c r="L149" s="29"/>
      <c r="M149" s="42"/>
      <c r="N149" s="29"/>
      <c r="O149" s="29"/>
      <c r="P149" s="29"/>
    </row>
    <row r="150" customFormat="false" ht="14.9" hidden="false" customHeight="false" outlineLevel="0" collapsed="false">
      <c r="A150" s="107" t="s">
        <v>182</v>
      </c>
      <c r="B150" s="24" t="s">
        <v>64</v>
      </c>
      <c r="C150" s="23" t="n">
        <v>39507</v>
      </c>
      <c r="D150" s="25" t="s">
        <v>183</v>
      </c>
      <c r="E150" s="23" t="s">
        <v>19</v>
      </c>
      <c r="F150" s="26" t="n">
        <f aca="false">F149</f>
        <v>8.8</v>
      </c>
      <c r="G150" s="109"/>
      <c r="H150" s="109"/>
      <c r="I150" s="109"/>
      <c r="J150" s="109"/>
      <c r="K150" s="109"/>
      <c r="L150" s="29"/>
      <c r="M150" s="42"/>
      <c r="N150" s="29"/>
      <c r="O150" s="29"/>
      <c r="P150" s="29"/>
    </row>
    <row r="151" customFormat="false" ht="14.9" hidden="false" customHeight="false" outlineLevel="0" collapsed="false">
      <c r="A151" s="107" t="s">
        <v>184</v>
      </c>
      <c r="B151" s="24" t="s">
        <v>64</v>
      </c>
      <c r="C151" s="23" t="n">
        <v>87257</v>
      </c>
      <c r="D151" s="25" t="s">
        <v>185</v>
      </c>
      <c r="E151" s="23" t="s">
        <v>19</v>
      </c>
      <c r="F151" s="26" t="n">
        <f aca="false">F150</f>
        <v>8.8</v>
      </c>
      <c r="G151" s="109"/>
      <c r="H151" s="109"/>
      <c r="I151" s="109"/>
      <c r="J151" s="109"/>
      <c r="K151" s="109"/>
      <c r="L151" s="29"/>
      <c r="M151" s="29"/>
      <c r="N151" s="29"/>
      <c r="O151" s="29"/>
      <c r="P151" s="29"/>
    </row>
    <row r="152" customFormat="false" ht="14.9" hidden="false" customHeight="false" outlineLevel="0" collapsed="false">
      <c r="A152" s="107" t="s">
        <v>186</v>
      </c>
      <c r="B152" s="24" t="s">
        <v>64</v>
      </c>
      <c r="C152" s="23" t="n">
        <v>88650</v>
      </c>
      <c r="D152" s="25" t="s">
        <v>187</v>
      </c>
      <c r="E152" s="23" t="s">
        <v>24</v>
      </c>
      <c r="F152" s="26" t="n">
        <f aca="false">7.5*2</f>
        <v>15</v>
      </c>
      <c r="G152" s="109"/>
      <c r="H152" s="109"/>
      <c r="I152" s="109"/>
      <c r="J152" s="109"/>
      <c r="K152" s="109"/>
      <c r="L152" s="29"/>
      <c r="M152" s="29"/>
      <c r="N152" s="29"/>
      <c r="O152" s="29"/>
      <c r="P152" s="29"/>
    </row>
    <row r="153" customFormat="false" ht="14.25" hidden="false" customHeight="true" outlineLevel="0" collapsed="false">
      <c r="A153" s="107" t="s">
        <v>188</v>
      </c>
      <c r="B153" s="30" t="s">
        <v>21</v>
      </c>
      <c r="C153" s="23" t="s">
        <v>189</v>
      </c>
      <c r="D153" s="25" t="s">
        <v>190</v>
      </c>
      <c r="E153" s="23" t="s">
        <v>24</v>
      </c>
      <c r="F153" s="26" t="n">
        <f aca="false">(1*2)+(0.9*2)</f>
        <v>3.8</v>
      </c>
      <c r="G153" s="109" t="s">
        <v>891</v>
      </c>
      <c r="H153" s="109"/>
      <c r="I153" s="109"/>
      <c r="J153" s="109"/>
      <c r="K153" s="109"/>
      <c r="L153" s="29"/>
      <c r="M153" s="29"/>
      <c r="N153" s="29"/>
      <c r="O153" s="29"/>
      <c r="P153" s="29"/>
    </row>
    <row r="154" customFormat="false" ht="14.25" hidden="false" customHeight="false" outlineLevel="0" collapsed="false">
      <c r="A154" s="117" t="s">
        <v>191</v>
      </c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29"/>
      <c r="M154" s="29"/>
      <c r="N154" s="29"/>
      <c r="O154" s="29"/>
      <c r="P154" s="29"/>
    </row>
    <row r="155" customFormat="false" ht="14.25" hidden="false" customHeight="true" outlineLevel="0" collapsed="false">
      <c r="A155" s="107" t="s">
        <v>192</v>
      </c>
      <c r="B155" s="31" t="s">
        <v>26</v>
      </c>
      <c r="C155" s="23" t="s">
        <v>193</v>
      </c>
      <c r="D155" s="25" t="s">
        <v>194</v>
      </c>
      <c r="E155" s="54" t="s">
        <v>19</v>
      </c>
      <c r="F155" s="161" t="n">
        <f aca="false">(1*1)*2</f>
        <v>2</v>
      </c>
      <c r="G155" s="109" t="s">
        <v>892</v>
      </c>
      <c r="H155" s="109"/>
      <c r="I155" s="109"/>
      <c r="J155" s="109"/>
      <c r="K155" s="109"/>
      <c r="L155" s="29"/>
      <c r="M155" s="29"/>
      <c r="N155" s="29"/>
      <c r="O155" s="29"/>
      <c r="P155" s="29"/>
    </row>
    <row r="156" customFormat="false" ht="21.6" hidden="false" customHeight="false" outlineLevel="0" collapsed="false">
      <c r="A156" s="107" t="s">
        <v>195</v>
      </c>
      <c r="B156" s="31" t="s">
        <v>26</v>
      </c>
      <c r="C156" s="23" t="s">
        <v>196</v>
      </c>
      <c r="D156" s="25" t="s">
        <v>197</v>
      </c>
      <c r="E156" s="23" t="s">
        <v>39</v>
      </c>
      <c r="F156" s="26" t="n">
        <v>2</v>
      </c>
      <c r="G156" s="109"/>
      <c r="H156" s="109"/>
      <c r="I156" s="109"/>
      <c r="J156" s="109"/>
      <c r="K156" s="109"/>
      <c r="L156" s="29"/>
      <c r="M156" s="29"/>
      <c r="N156" s="29"/>
      <c r="O156" s="29"/>
      <c r="P156" s="29"/>
    </row>
    <row r="157" customFormat="false" ht="14.9" hidden="false" customHeight="false" outlineLevel="0" collapsed="false">
      <c r="A157" s="107" t="s">
        <v>198</v>
      </c>
      <c r="B157" s="24" t="s">
        <v>57</v>
      </c>
      <c r="C157" s="23" t="n">
        <v>102219</v>
      </c>
      <c r="D157" s="25" t="s">
        <v>199</v>
      </c>
      <c r="E157" s="23" t="s">
        <v>19</v>
      </c>
      <c r="F157" s="26" t="n">
        <f aca="false">F156*(0.9*2.1)*2+(0.15*2.1)*2+(0.15*0.9)</f>
        <v>8.325</v>
      </c>
      <c r="G157" s="109"/>
      <c r="H157" s="109"/>
      <c r="I157" s="109"/>
      <c r="J157" s="109"/>
      <c r="K157" s="109"/>
      <c r="L157" s="29"/>
      <c r="M157" s="29"/>
      <c r="N157" s="29"/>
      <c r="O157" s="29"/>
      <c r="P157" s="29"/>
    </row>
    <row r="158" customFormat="false" ht="14.25" hidden="false" customHeight="false" outlineLevel="0" collapsed="false">
      <c r="A158" s="162" t="s">
        <v>200</v>
      </c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29"/>
      <c r="M158" s="29"/>
      <c r="N158" s="29"/>
      <c r="O158" s="29"/>
      <c r="P158" s="29"/>
    </row>
    <row r="159" customFormat="false" ht="14.25" hidden="false" customHeight="true" outlineLevel="0" collapsed="false">
      <c r="A159" s="107" t="s">
        <v>201</v>
      </c>
      <c r="B159" s="30" t="s">
        <v>21</v>
      </c>
      <c r="C159" s="23" t="s">
        <v>202</v>
      </c>
      <c r="D159" s="25" t="s">
        <v>203</v>
      </c>
      <c r="E159" s="23" t="s">
        <v>204</v>
      </c>
      <c r="F159" s="26" t="n">
        <v>2</v>
      </c>
      <c r="G159" s="109" t="s">
        <v>892</v>
      </c>
      <c r="H159" s="109"/>
      <c r="I159" s="109"/>
      <c r="J159" s="109"/>
      <c r="K159" s="109"/>
      <c r="L159" s="29"/>
      <c r="M159" s="29"/>
      <c r="N159" s="29"/>
      <c r="O159" s="29"/>
      <c r="P159" s="29"/>
    </row>
    <row r="160" customFormat="false" ht="21.6" hidden="false" customHeight="false" outlineLevel="0" collapsed="false">
      <c r="A160" s="107" t="s">
        <v>205</v>
      </c>
      <c r="B160" s="31" t="s">
        <v>26</v>
      </c>
      <c r="C160" s="23" t="s">
        <v>206</v>
      </c>
      <c r="D160" s="25" t="s">
        <v>207</v>
      </c>
      <c r="E160" s="23" t="s">
        <v>39</v>
      </c>
      <c r="F160" s="26" t="n">
        <v>4</v>
      </c>
      <c r="G160" s="109"/>
      <c r="H160" s="109"/>
      <c r="I160" s="109"/>
      <c r="J160" s="109"/>
      <c r="K160" s="109"/>
      <c r="L160" s="29"/>
      <c r="M160" s="29"/>
      <c r="N160" s="29"/>
      <c r="O160" s="29"/>
      <c r="P160" s="29"/>
    </row>
    <row r="161" customFormat="false" ht="14.9" hidden="false" customHeight="false" outlineLevel="0" collapsed="false">
      <c r="A161" s="107" t="s">
        <v>208</v>
      </c>
      <c r="B161" s="31" t="s">
        <v>26</v>
      </c>
      <c r="C161" s="23" t="s">
        <v>209</v>
      </c>
      <c r="D161" s="25" t="s">
        <v>210</v>
      </c>
      <c r="E161" s="23" t="s">
        <v>24</v>
      </c>
      <c r="F161" s="26" t="n">
        <v>4</v>
      </c>
      <c r="G161" s="109"/>
      <c r="H161" s="109"/>
      <c r="I161" s="109"/>
      <c r="J161" s="109"/>
      <c r="K161" s="109"/>
      <c r="L161" s="29"/>
      <c r="M161" s="29"/>
      <c r="N161" s="29"/>
      <c r="O161" s="29"/>
      <c r="P161" s="29"/>
    </row>
    <row r="162" customFormat="false" ht="14.25" hidden="false" customHeight="false" outlineLevel="0" collapsed="false">
      <c r="A162" s="107" t="s">
        <v>211</v>
      </c>
      <c r="B162" s="30" t="s">
        <v>21</v>
      </c>
      <c r="C162" s="23" t="s">
        <v>212</v>
      </c>
      <c r="D162" s="25" t="s">
        <v>213</v>
      </c>
      <c r="E162" s="23" t="s">
        <v>204</v>
      </c>
      <c r="F162" s="26" t="n">
        <v>2</v>
      </c>
      <c r="G162" s="109"/>
      <c r="H162" s="109"/>
      <c r="I162" s="109"/>
      <c r="J162" s="109"/>
      <c r="K162" s="109"/>
      <c r="L162" s="29"/>
      <c r="M162" s="29"/>
      <c r="N162" s="29"/>
      <c r="O162" s="29"/>
      <c r="P162" s="29"/>
    </row>
    <row r="163" customFormat="false" ht="14.25" hidden="false" customHeight="false" outlineLevel="0" collapsed="false">
      <c r="A163" s="117" t="s">
        <v>214</v>
      </c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29"/>
      <c r="M163" s="29"/>
      <c r="N163" s="29"/>
      <c r="O163" s="29"/>
      <c r="P163" s="29"/>
    </row>
    <row r="164" customFormat="false" ht="14.25" hidden="false" customHeight="true" outlineLevel="0" collapsed="false">
      <c r="A164" s="107" t="s">
        <v>215</v>
      </c>
      <c r="B164" s="30" t="s">
        <v>21</v>
      </c>
      <c r="C164" s="54" t="s">
        <v>216</v>
      </c>
      <c r="D164" s="25" t="s">
        <v>217</v>
      </c>
      <c r="E164" s="54" t="s">
        <v>39</v>
      </c>
      <c r="F164" s="23" t="n">
        <v>2</v>
      </c>
      <c r="G164" s="109" t="s">
        <v>892</v>
      </c>
      <c r="H164" s="109"/>
      <c r="I164" s="109"/>
      <c r="J164" s="109"/>
      <c r="K164" s="109"/>
      <c r="L164" s="60"/>
      <c r="M164" s="60"/>
      <c r="N164" s="60"/>
      <c r="O164" s="60"/>
      <c r="P164" s="60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</row>
    <row r="165" customFormat="false" ht="14.25" hidden="false" customHeight="false" outlineLevel="0" collapsed="false">
      <c r="A165" s="107" t="s">
        <v>218</v>
      </c>
      <c r="B165" s="30" t="s">
        <v>21</v>
      </c>
      <c r="C165" s="54" t="s">
        <v>219</v>
      </c>
      <c r="D165" s="25" t="s">
        <v>220</v>
      </c>
      <c r="E165" s="54" t="s">
        <v>24</v>
      </c>
      <c r="F165" s="23" t="n">
        <f aca="false">(0.5*2)*2</f>
        <v>2</v>
      </c>
      <c r="G165" s="109"/>
      <c r="H165" s="109"/>
      <c r="I165" s="109"/>
      <c r="J165" s="109"/>
      <c r="K165" s="109"/>
      <c r="L165" s="60"/>
      <c r="M165" s="60"/>
      <c r="N165" s="60"/>
      <c r="O165" s="60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</row>
    <row r="166" customFormat="false" ht="14.25" hidden="false" customHeight="false" outlineLevel="0" collapsed="false">
      <c r="A166" s="107" t="s">
        <v>221</v>
      </c>
      <c r="B166" s="30" t="s">
        <v>21</v>
      </c>
      <c r="C166" s="54" t="s">
        <v>222</v>
      </c>
      <c r="D166" s="25" t="s">
        <v>223</v>
      </c>
      <c r="E166" s="54" t="s">
        <v>24</v>
      </c>
      <c r="F166" s="23" t="n">
        <f aca="false">3*2</f>
        <v>6</v>
      </c>
      <c r="G166" s="109"/>
      <c r="H166" s="109"/>
      <c r="I166" s="109"/>
      <c r="J166" s="109"/>
      <c r="K166" s="109"/>
      <c r="L166" s="60"/>
      <c r="M166" s="60"/>
      <c r="N166" s="60"/>
      <c r="O166" s="60"/>
      <c r="P166" s="60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</row>
    <row r="167" customFormat="false" ht="14.25" hidden="false" customHeight="false" outlineLevel="0" collapsed="false">
      <c r="A167" s="107" t="s">
        <v>224</v>
      </c>
      <c r="B167" s="30" t="s">
        <v>21</v>
      </c>
      <c r="C167" s="54" t="s">
        <v>225</v>
      </c>
      <c r="D167" s="25" t="s">
        <v>226</v>
      </c>
      <c r="E167" s="54" t="s">
        <v>24</v>
      </c>
      <c r="F167" s="23" t="n">
        <f aca="false">4*2</f>
        <v>8</v>
      </c>
      <c r="G167" s="109"/>
      <c r="H167" s="109"/>
      <c r="I167" s="109"/>
      <c r="J167" s="109"/>
      <c r="K167" s="109"/>
      <c r="L167" s="60"/>
      <c r="M167" s="60"/>
      <c r="N167" s="60"/>
      <c r="O167" s="60"/>
      <c r="P167" s="60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</row>
    <row r="168" customFormat="false" ht="14.25" hidden="false" customHeight="false" outlineLevel="0" collapsed="false">
      <c r="A168" s="117" t="s">
        <v>227</v>
      </c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29"/>
      <c r="M168" s="29"/>
      <c r="N168" s="29"/>
      <c r="O168" s="29"/>
      <c r="P168" s="29"/>
    </row>
    <row r="169" customFormat="false" ht="14.25" hidden="false" customHeight="true" outlineLevel="0" collapsed="false">
      <c r="A169" s="107" t="s">
        <v>228</v>
      </c>
      <c r="B169" s="24" t="s">
        <v>57</v>
      </c>
      <c r="C169" s="23" t="n">
        <v>102605</v>
      </c>
      <c r="D169" s="25" t="s">
        <v>229</v>
      </c>
      <c r="E169" s="54" t="s">
        <v>39</v>
      </c>
      <c r="F169" s="23" t="n">
        <v>2</v>
      </c>
      <c r="G169" s="109" t="s">
        <v>892</v>
      </c>
      <c r="H169" s="109"/>
      <c r="I169" s="109"/>
      <c r="J169" s="109"/>
      <c r="K169" s="109"/>
      <c r="L169" s="29"/>
      <c r="M169" s="29"/>
      <c r="N169" s="29"/>
      <c r="O169" s="29"/>
      <c r="P169" s="29"/>
    </row>
    <row r="170" customFormat="false" ht="14.9" hidden="false" customHeight="false" outlineLevel="0" collapsed="false">
      <c r="A170" s="107" t="s">
        <v>230</v>
      </c>
      <c r="B170" s="24" t="s">
        <v>57</v>
      </c>
      <c r="C170" s="23" t="n">
        <v>89971</v>
      </c>
      <c r="D170" s="25" t="s">
        <v>231</v>
      </c>
      <c r="E170" s="54" t="s">
        <v>39</v>
      </c>
      <c r="F170" s="23" t="n">
        <v>4</v>
      </c>
      <c r="G170" s="109"/>
      <c r="H170" s="109"/>
      <c r="I170" s="109"/>
      <c r="J170" s="109"/>
      <c r="K170" s="109"/>
      <c r="L170" s="29"/>
      <c r="M170" s="29"/>
      <c r="N170" s="29"/>
      <c r="O170" s="29"/>
      <c r="P170" s="29"/>
    </row>
    <row r="171" customFormat="false" ht="14.25" hidden="false" customHeight="false" outlineLevel="0" collapsed="false">
      <c r="A171" s="117" t="s">
        <v>232</v>
      </c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29"/>
      <c r="M171" s="29"/>
      <c r="N171" s="29"/>
      <c r="O171" s="29"/>
      <c r="P171" s="29"/>
    </row>
    <row r="172" customFormat="false" ht="21.6" hidden="false" customHeight="true" outlineLevel="0" collapsed="false">
      <c r="A172" s="107" t="s">
        <v>233</v>
      </c>
      <c r="B172" s="31" t="s">
        <v>26</v>
      </c>
      <c r="C172" s="54" t="s">
        <v>234</v>
      </c>
      <c r="D172" s="25" t="s">
        <v>393</v>
      </c>
      <c r="E172" s="54" t="s">
        <v>24</v>
      </c>
      <c r="F172" s="23" t="n">
        <f aca="false">(2.5+4+1.5+4)*2</f>
        <v>24</v>
      </c>
      <c r="G172" s="109" t="s">
        <v>892</v>
      </c>
      <c r="H172" s="109"/>
      <c r="I172" s="109"/>
      <c r="J172" s="109"/>
      <c r="K172" s="109"/>
      <c r="L172" s="60"/>
      <c r="M172" s="60"/>
      <c r="N172" s="60"/>
      <c r="O172" s="60"/>
      <c r="P172" s="60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</row>
    <row r="173" customFormat="false" ht="14.9" hidden="false" customHeight="false" outlineLevel="0" collapsed="false">
      <c r="A173" s="107" t="s">
        <v>236</v>
      </c>
      <c r="B173" s="31" t="s">
        <v>26</v>
      </c>
      <c r="C173" s="54" t="s">
        <v>237</v>
      </c>
      <c r="D173" s="25" t="s">
        <v>238</v>
      </c>
      <c r="E173" s="54" t="s">
        <v>39</v>
      </c>
      <c r="F173" s="23" t="n">
        <v>2</v>
      </c>
      <c r="G173" s="109"/>
      <c r="H173" s="109"/>
      <c r="I173" s="109"/>
      <c r="J173" s="109"/>
      <c r="K173" s="109"/>
      <c r="L173" s="60"/>
      <c r="M173" s="60"/>
      <c r="N173" s="60"/>
      <c r="O173" s="60"/>
      <c r="P173" s="60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</row>
    <row r="174" customFormat="false" ht="14.25" hidden="false" customHeight="false" outlineLevel="0" collapsed="false">
      <c r="A174" s="117" t="s">
        <v>799</v>
      </c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29"/>
      <c r="M174" s="29"/>
      <c r="N174" s="29"/>
      <c r="O174" s="29"/>
      <c r="P174" s="29"/>
    </row>
    <row r="175" customFormat="false" ht="14.25" hidden="false" customHeight="false" outlineLevel="0" collapsed="false">
      <c r="A175" s="107" t="s">
        <v>240</v>
      </c>
      <c r="B175" s="24" t="s">
        <v>57</v>
      </c>
      <c r="C175" s="23" t="n">
        <v>93358</v>
      </c>
      <c r="D175" s="41" t="s">
        <v>690</v>
      </c>
      <c r="E175" s="23" t="s">
        <v>49</v>
      </c>
      <c r="F175" s="111" t="n">
        <v>1.1</v>
      </c>
      <c r="G175" s="112" t="s">
        <v>892</v>
      </c>
      <c r="H175" s="112"/>
      <c r="I175" s="112"/>
      <c r="J175" s="112"/>
      <c r="K175" s="112"/>
    </row>
    <row r="176" customFormat="false" ht="14.9" hidden="false" customHeight="false" outlineLevel="0" collapsed="false">
      <c r="A176" s="107" t="s">
        <v>243</v>
      </c>
      <c r="B176" s="163" t="s">
        <v>17</v>
      </c>
      <c r="C176" s="23" t="n">
        <v>2442</v>
      </c>
      <c r="D176" s="41" t="s">
        <v>800</v>
      </c>
      <c r="E176" s="23" t="s">
        <v>24</v>
      </c>
      <c r="F176" s="111" t="n">
        <v>11</v>
      </c>
      <c r="G176" s="112"/>
      <c r="H176" s="112"/>
      <c r="I176" s="112"/>
      <c r="J176" s="112"/>
      <c r="K176" s="112"/>
    </row>
    <row r="177" customFormat="false" ht="14.25" hidden="false" customHeight="false" outlineLevel="0" collapsed="false">
      <c r="A177" s="107" t="s">
        <v>801</v>
      </c>
      <c r="B177" s="23" t="s">
        <v>893</v>
      </c>
      <c r="C177" s="23" t="s">
        <v>894</v>
      </c>
      <c r="D177" s="41" t="s">
        <v>895</v>
      </c>
      <c r="E177" s="23" t="s">
        <v>49</v>
      </c>
      <c r="F177" s="111" t="n">
        <v>1.1</v>
      </c>
      <c r="G177" s="112"/>
      <c r="H177" s="112"/>
      <c r="I177" s="112"/>
      <c r="J177" s="112"/>
      <c r="K177" s="112"/>
    </row>
    <row r="178" customFormat="false" ht="14.25" hidden="false" customHeight="false" outlineLevel="0" collapsed="false">
      <c r="A178" s="107" t="s">
        <v>804</v>
      </c>
      <c r="B178" s="30" t="s">
        <v>21</v>
      </c>
      <c r="C178" s="23" t="s">
        <v>754</v>
      </c>
      <c r="D178" s="41" t="s">
        <v>755</v>
      </c>
      <c r="E178" s="23" t="s">
        <v>685</v>
      </c>
      <c r="F178" s="111" t="n">
        <v>0.3</v>
      </c>
      <c r="G178" s="112"/>
      <c r="H178" s="112"/>
      <c r="I178" s="112"/>
      <c r="J178" s="112"/>
      <c r="K178" s="112"/>
    </row>
    <row r="179" customFormat="false" ht="14.9" hidden="false" customHeight="false" outlineLevel="0" collapsed="false">
      <c r="A179" s="107" t="s">
        <v>805</v>
      </c>
      <c r="B179" s="24" t="s">
        <v>57</v>
      </c>
      <c r="C179" s="23" t="n">
        <v>91929</v>
      </c>
      <c r="D179" s="41" t="s">
        <v>694</v>
      </c>
      <c r="E179" s="23" t="s">
        <v>24</v>
      </c>
      <c r="F179" s="111" t="n">
        <v>27</v>
      </c>
      <c r="G179" s="112"/>
      <c r="H179" s="112"/>
      <c r="I179" s="112"/>
      <c r="J179" s="112"/>
      <c r="K179" s="112"/>
    </row>
    <row r="180" customFormat="false" ht="14.25" hidden="false" customHeight="false" outlineLevel="0" collapsed="false">
      <c r="A180" s="107" t="s">
        <v>806</v>
      </c>
      <c r="B180" s="30" t="s">
        <v>21</v>
      </c>
      <c r="C180" s="23" t="s">
        <v>764</v>
      </c>
      <c r="D180" s="41" t="s">
        <v>765</v>
      </c>
      <c r="E180" s="23" t="s">
        <v>685</v>
      </c>
      <c r="F180" s="111" t="n">
        <v>2</v>
      </c>
      <c r="G180" s="112"/>
      <c r="H180" s="112"/>
      <c r="I180" s="112"/>
      <c r="J180" s="112"/>
      <c r="K180" s="112"/>
    </row>
    <row r="181" customFormat="false" ht="14.25" hidden="false" customHeight="false" outlineLevel="0" collapsed="false">
      <c r="A181" s="107" t="s">
        <v>807</v>
      </c>
      <c r="B181" s="24" t="s">
        <v>57</v>
      </c>
      <c r="C181" s="23" t="n">
        <v>93664</v>
      </c>
      <c r="D181" s="41" t="s">
        <v>767</v>
      </c>
      <c r="E181" s="23" t="s">
        <v>685</v>
      </c>
      <c r="F181" s="111" t="n">
        <v>2</v>
      </c>
      <c r="G181" s="112"/>
      <c r="H181" s="112"/>
      <c r="I181" s="112"/>
      <c r="J181" s="112"/>
      <c r="K181" s="112"/>
    </row>
    <row r="182" customFormat="false" ht="14.25" hidden="false" customHeight="false" outlineLevel="0" collapsed="false">
      <c r="A182" s="164" t="s">
        <v>239</v>
      </c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29"/>
      <c r="M182" s="29"/>
      <c r="N182" s="29"/>
      <c r="O182" s="29"/>
      <c r="P182" s="29"/>
    </row>
    <row r="183" customFormat="false" ht="14.25" hidden="false" customHeight="true" outlineLevel="0" collapsed="false">
      <c r="A183" s="107" t="s">
        <v>808</v>
      </c>
      <c r="B183" s="31" t="s">
        <v>26</v>
      </c>
      <c r="C183" s="23" t="s">
        <v>241</v>
      </c>
      <c r="D183" s="25" t="s">
        <v>242</v>
      </c>
      <c r="E183" s="54" t="s">
        <v>19</v>
      </c>
      <c r="F183" s="161" t="n">
        <f aca="false">(0.95*1.1)*2+(1*1)*2+(1.5*1)*2</f>
        <v>7.09</v>
      </c>
      <c r="G183" s="109" t="s">
        <v>896</v>
      </c>
      <c r="H183" s="109"/>
      <c r="I183" s="109"/>
      <c r="J183" s="109"/>
      <c r="K183" s="109"/>
    </row>
    <row r="184" customFormat="false" ht="14.9" hidden="false" customHeight="true" outlineLevel="0" collapsed="false">
      <c r="A184" s="107" t="s">
        <v>809</v>
      </c>
      <c r="B184" s="30" t="s">
        <v>21</v>
      </c>
      <c r="C184" s="23" t="s">
        <v>244</v>
      </c>
      <c r="D184" s="25" t="s">
        <v>245</v>
      </c>
      <c r="E184" s="54" t="s">
        <v>246</v>
      </c>
      <c r="F184" s="161" t="n">
        <f aca="false">F183+(0.7*2.1)*2</f>
        <v>10.03</v>
      </c>
      <c r="G184" s="109" t="s">
        <v>897</v>
      </c>
      <c r="H184" s="109"/>
      <c r="I184" s="109"/>
      <c r="J184" s="109"/>
      <c r="K184" s="109"/>
    </row>
    <row r="185" customFormat="false" ht="14.25" hidden="false" customHeight="false" outlineLevel="0" collapsed="false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customFormat="false" ht="14.25" hidden="false" customHeight="false" outlineLevel="0" collapsed="false">
      <c r="A186" s="104" t="s">
        <v>248</v>
      </c>
      <c r="B186" s="165" t="s">
        <v>898</v>
      </c>
      <c r="C186" s="165"/>
      <c r="D186" s="165"/>
      <c r="E186" s="165"/>
      <c r="F186" s="165"/>
      <c r="G186" s="165"/>
      <c r="H186" s="165"/>
      <c r="I186" s="165"/>
      <c r="J186" s="165"/>
      <c r="K186" s="165"/>
    </row>
    <row r="187" customFormat="false" ht="14.25" hidden="false" customHeight="false" outlineLevel="0" collapsed="false">
      <c r="A187" s="107" t="s">
        <v>250</v>
      </c>
      <c r="B187" s="30" t="s">
        <v>21</v>
      </c>
      <c r="C187" s="23" t="s">
        <v>251</v>
      </c>
      <c r="D187" s="41" t="s">
        <v>252</v>
      </c>
      <c r="E187" s="23" t="s">
        <v>49</v>
      </c>
      <c r="F187" s="111" t="n">
        <f aca="false">G189</f>
        <v>3.275</v>
      </c>
      <c r="G187" s="112" t="s">
        <v>899</v>
      </c>
      <c r="H187" s="112"/>
      <c r="I187" s="112"/>
      <c r="J187" s="112"/>
      <c r="K187" s="112"/>
    </row>
    <row r="188" customFormat="false" ht="14.25" hidden="false" customHeight="false" outlineLevel="0" collapsed="false">
      <c r="A188" s="107"/>
      <c r="B188" s="107"/>
      <c r="C188" s="107"/>
      <c r="D188" s="107"/>
      <c r="E188" s="123" t="s">
        <v>19</v>
      </c>
      <c r="F188" s="166" t="s">
        <v>900</v>
      </c>
      <c r="G188" s="167" t="s">
        <v>49</v>
      </c>
      <c r="H188" s="112"/>
      <c r="I188" s="112"/>
      <c r="J188" s="112"/>
      <c r="K188" s="112"/>
    </row>
    <row r="189" customFormat="false" ht="14.25" hidden="false" customHeight="false" outlineLevel="0" collapsed="false">
      <c r="A189" s="107"/>
      <c r="B189" s="107"/>
      <c r="C189" s="107"/>
      <c r="D189" s="107"/>
      <c r="E189" s="123" t="n">
        <v>6.55</v>
      </c>
      <c r="F189" s="166" t="n">
        <v>0.5</v>
      </c>
      <c r="G189" s="167" t="n">
        <f aca="false">SUM(F189*E189)</f>
        <v>3.275</v>
      </c>
      <c r="H189" s="112"/>
      <c r="I189" s="112"/>
      <c r="J189" s="112"/>
      <c r="K189" s="112"/>
    </row>
    <row r="190" customFormat="false" ht="14.25" hidden="false" customHeight="false" outlineLevel="0" collapsed="false">
      <c r="A190" s="107" t="s">
        <v>253</v>
      </c>
      <c r="B190" s="30" t="s">
        <v>21</v>
      </c>
      <c r="C190" s="23" t="s">
        <v>254</v>
      </c>
      <c r="D190" s="25" t="s">
        <v>255</v>
      </c>
      <c r="E190" s="23" t="s">
        <v>49</v>
      </c>
      <c r="F190" s="168" t="n">
        <f aca="false">F187</f>
        <v>3.275</v>
      </c>
      <c r="G190" s="169"/>
      <c r="H190" s="169"/>
      <c r="I190" s="169"/>
      <c r="J190" s="169"/>
      <c r="K190" s="169"/>
    </row>
    <row r="191" customFormat="false" ht="14.9" hidden="false" customHeight="false" outlineLevel="0" collapsed="false">
      <c r="A191" s="107" t="s">
        <v>256</v>
      </c>
      <c r="B191" s="24" t="s">
        <v>57</v>
      </c>
      <c r="C191" s="23" t="n">
        <v>100982</v>
      </c>
      <c r="D191" s="41" t="s">
        <v>257</v>
      </c>
      <c r="E191" s="23" t="s">
        <v>49</v>
      </c>
      <c r="F191" s="111" t="n">
        <f aca="false">F190</f>
        <v>3.275</v>
      </c>
      <c r="G191" s="169"/>
      <c r="H191" s="169"/>
      <c r="I191" s="169"/>
      <c r="J191" s="169"/>
      <c r="K191" s="169"/>
    </row>
    <row r="192" customFormat="false" ht="14.9" hidden="false" customHeight="false" outlineLevel="0" collapsed="false">
      <c r="A192" s="107" t="s">
        <v>258</v>
      </c>
      <c r="B192" s="24" t="s">
        <v>57</v>
      </c>
      <c r="C192" s="23" t="n">
        <v>95875</v>
      </c>
      <c r="D192" s="41" t="s">
        <v>259</v>
      </c>
      <c r="E192" s="23" t="s">
        <v>260</v>
      </c>
      <c r="F192" s="111" t="n">
        <f aca="false">F191*10</f>
        <v>32.75</v>
      </c>
      <c r="G192" s="169"/>
      <c r="H192" s="169"/>
      <c r="I192" s="169"/>
      <c r="J192" s="169"/>
      <c r="K192" s="169"/>
    </row>
    <row r="193" customFormat="false" ht="14.9" hidden="false" customHeight="false" outlineLevel="0" collapsed="false">
      <c r="A193" s="107" t="s">
        <v>261</v>
      </c>
      <c r="B193" s="24" t="s">
        <v>57</v>
      </c>
      <c r="C193" s="23" t="n">
        <v>100324</v>
      </c>
      <c r="D193" s="41" t="s">
        <v>262</v>
      </c>
      <c r="E193" s="23" t="s">
        <v>49</v>
      </c>
      <c r="F193" s="111" t="n">
        <f aca="false">E189*0.1</f>
        <v>0.655</v>
      </c>
      <c r="G193" s="169"/>
      <c r="H193" s="169"/>
      <c r="I193" s="169"/>
      <c r="J193" s="169"/>
      <c r="K193" s="169"/>
    </row>
    <row r="194" customFormat="false" ht="14.9" hidden="false" customHeight="false" outlineLevel="0" collapsed="false">
      <c r="A194" s="107" t="s">
        <v>263</v>
      </c>
      <c r="B194" s="24" t="s">
        <v>57</v>
      </c>
      <c r="C194" s="23" t="n">
        <v>101749</v>
      </c>
      <c r="D194" s="41" t="s">
        <v>264</v>
      </c>
      <c r="E194" s="23" t="s">
        <v>19</v>
      </c>
      <c r="F194" s="111" t="n">
        <f aca="false">E189</f>
        <v>6.55</v>
      </c>
      <c r="G194" s="169"/>
      <c r="H194" s="169"/>
      <c r="I194" s="169"/>
      <c r="J194" s="169"/>
      <c r="K194" s="169"/>
    </row>
    <row r="195" customFormat="false" ht="14.9" hidden="false" customHeight="false" outlineLevel="0" collapsed="false">
      <c r="A195" s="107" t="s">
        <v>265</v>
      </c>
      <c r="B195" s="24" t="s">
        <v>57</v>
      </c>
      <c r="C195" s="23" t="n">
        <v>94990</v>
      </c>
      <c r="D195" s="41" t="s">
        <v>266</v>
      </c>
      <c r="E195" s="23" t="s">
        <v>49</v>
      </c>
      <c r="F195" s="111" t="n">
        <f aca="false">E189*0.2</f>
        <v>1.31</v>
      </c>
      <c r="G195" s="169"/>
      <c r="H195" s="169"/>
      <c r="I195" s="169"/>
      <c r="J195" s="169"/>
      <c r="K195" s="169"/>
    </row>
    <row r="196" customFormat="false" ht="14.25" hidden="false" customHeight="false" outlineLevel="0" collapsed="false">
      <c r="A196" s="107" t="s">
        <v>267</v>
      </c>
      <c r="B196" s="24" t="s">
        <v>57</v>
      </c>
      <c r="C196" s="23" t="n">
        <v>101094</v>
      </c>
      <c r="D196" s="41" t="s">
        <v>268</v>
      </c>
      <c r="E196" s="23" t="s">
        <v>24</v>
      </c>
      <c r="F196" s="111" t="n">
        <f aca="false">2.3*2</f>
        <v>4.6</v>
      </c>
      <c r="G196" s="169"/>
      <c r="H196" s="169"/>
      <c r="I196" s="169"/>
      <c r="J196" s="169"/>
      <c r="K196" s="169"/>
    </row>
    <row r="197" customFormat="false" ht="14.25" hidden="false" customHeight="false" outlineLevel="0" collapsed="false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customFormat="false" ht="14.25" hidden="false" customHeight="false" outlineLevel="0" collapsed="false">
      <c r="A198" s="104" t="s">
        <v>270</v>
      </c>
      <c r="B198" s="165" t="str">
        <f aca="false">ORÇAMENTO!B127:K127</f>
        <v>CONSTRUÇÃO DE RAMPAS DE ACESSIBILIDADE - ÁREA DOS BRINQUEDOS </v>
      </c>
      <c r="C198" s="165"/>
      <c r="D198" s="165"/>
      <c r="E198" s="165"/>
      <c r="F198" s="165"/>
      <c r="G198" s="165"/>
      <c r="H198" s="165"/>
      <c r="I198" s="165"/>
      <c r="J198" s="165"/>
      <c r="K198" s="165"/>
    </row>
    <row r="199" customFormat="false" ht="14.25" hidden="false" customHeight="false" outlineLevel="0" collapsed="false">
      <c r="A199" s="107" t="s">
        <v>272</v>
      </c>
      <c r="B199" s="30" t="s">
        <v>21</v>
      </c>
      <c r="C199" s="23" t="s">
        <v>273</v>
      </c>
      <c r="D199" s="41" t="s">
        <v>274</v>
      </c>
      <c r="E199" s="23" t="s">
        <v>49</v>
      </c>
      <c r="F199" s="111" t="n">
        <f aca="false">G201</f>
        <v>58.5</v>
      </c>
      <c r="G199" s="37" t="n">
        <v>11.04</v>
      </c>
      <c r="H199" s="112"/>
      <c r="I199" s="112"/>
      <c r="J199" s="112"/>
      <c r="K199" s="112"/>
    </row>
    <row r="200" customFormat="false" ht="14.25" hidden="false" customHeight="false" outlineLevel="0" collapsed="false">
      <c r="A200" s="107"/>
      <c r="B200" s="107"/>
      <c r="C200" s="107"/>
      <c r="D200" s="107"/>
      <c r="E200" s="123" t="s">
        <v>19</v>
      </c>
      <c r="F200" s="166" t="s">
        <v>900</v>
      </c>
      <c r="G200" s="167" t="s">
        <v>49</v>
      </c>
      <c r="H200" s="112"/>
      <c r="I200" s="112"/>
      <c r="J200" s="112"/>
      <c r="K200" s="112"/>
    </row>
    <row r="201" customFormat="false" ht="14.25" hidden="false" customHeight="false" outlineLevel="0" collapsed="false">
      <c r="A201" s="107"/>
      <c r="B201" s="107"/>
      <c r="C201" s="107"/>
      <c r="D201" s="107"/>
      <c r="E201" s="123" t="n">
        <v>195</v>
      </c>
      <c r="F201" s="166" t="n">
        <v>0.3</v>
      </c>
      <c r="G201" s="170" t="n">
        <f aca="false">SUM(F201*E201)</f>
        <v>58.5</v>
      </c>
      <c r="H201" s="112"/>
      <c r="I201" s="112"/>
      <c r="J201" s="112"/>
      <c r="K201" s="112"/>
    </row>
    <row r="202" customFormat="false" ht="14.9" hidden="false" customHeight="false" outlineLevel="0" collapsed="false">
      <c r="A202" s="107" t="s">
        <v>275</v>
      </c>
      <c r="B202" s="24" t="s">
        <v>57</v>
      </c>
      <c r="C202" s="23" t="n">
        <v>100324</v>
      </c>
      <c r="D202" s="41" t="s">
        <v>262</v>
      </c>
      <c r="E202" s="23" t="s">
        <v>49</v>
      </c>
      <c r="F202" s="111" t="n">
        <f aca="false">G204</f>
        <v>19.5</v>
      </c>
      <c r="G202" s="37" t="n">
        <v>121.25</v>
      </c>
      <c r="H202" s="112"/>
      <c r="I202" s="112"/>
      <c r="J202" s="112"/>
      <c r="K202" s="112"/>
    </row>
    <row r="203" customFormat="false" ht="14.25" hidden="false" customHeight="false" outlineLevel="0" collapsed="false">
      <c r="A203" s="107"/>
      <c r="B203" s="107"/>
      <c r="C203" s="107"/>
      <c r="D203" s="107"/>
      <c r="E203" s="123" t="s">
        <v>19</v>
      </c>
      <c r="F203" s="166" t="s">
        <v>900</v>
      </c>
      <c r="G203" s="167" t="s">
        <v>49</v>
      </c>
      <c r="H203" s="112"/>
      <c r="I203" s="112"/>
      <c r="J203" s="112"/>
      <c r="K203" s="112"/>
    </row>
    <row r="204" customFormat="false" ht="14.25" hidden="false" customHeight="false" outlineLevel="0" collapsed="false">
      <c r="A204" s="107"/>
      <c r="B204" s="107"/>
      <c r="C204" s="107"/>
      <c r="D204" s="107"/>
      <c r="E204" s="123" t="n">
        <v>195</v>
      </c>
      <c r="F204" s="166" t="n">
        <v>0.1</v>
      </c>
      <c r="G204" s="170" t="n">
        <f aca="false">SUM(F204*E204)</f>
        <v>19.5</v>
      </c>
      <c r="H204" s="112"/>
      <c r="I204" s="112"/>
      <c r="J204" s="112"/>
      <c r="K204" s="112"/>
    </row>
    <row r="205" customFormat="false" ht="14.9" hidden="false" customHeight="false" outlineLevel="0" collapsed="false">
      <c r="A205" s="107" t="s">
        <v>276</v>
      </c>
      <c r="B205" s="24" t="s">
        <v>57</v>
      </c>
      <c r="C205" s="23" t="n">
        <v>101749</v>
      </c>
      <c r="D205" s="41" t="s">
        <v>264</v>
      </c>
      <c r="E205" s="23" t="s">
        <v>19</v>
      </c>
      <c r="F205" s="111" t="n">
        <f aca="false">E204</f>
        <v>195</v>
      </c>
      <c r="G205" s="37" t="n">
        <v>50.69</v>
      </c>
      <c r="H205" s="112"/>
      <c r="I205" s="112"/>
      <c r="J205" s="112"/>
      <c r="K205" s="112"/>
    </row>
    <row r="206" customFormat="false" ht="14.25" hidden="false" customHeight="false" outlineLevel="0" collapsed="false">
      <c r="A206" s="107" t="s">
        <v>277</v>
      </c>
      <c r="B206" s="24" t="s">
        <v>64</v>
      </c>
      <c r="C206" s="23" t="n">
        <v>97113</v>
      </c>
      <c r="D206" s="25" t="s">
        <v>65</v>
      </c>
      <c r="E206" s="23" t="s">
        <v>19</v>
      </c>
      <c r="F206" s="26" t="n">
        <f aca="false">E201</f>
        <v>195</v>
      </c>
      <c r="G206" s="27" t="n">
        <v>2.03</v>
      </c>
      <c r="H206" s="112"/>
      <c r="I206" s="112"/>
      <c r="J206" s="112"/>
      <c r="K206" s="112"/>
      <c r="L206" s="29"/>
      <c r="M206" s="42"/>
      <c r="N206" s="29"/>
      <c r="O206" s="29"/>
      <c r="P206" s="29"/>
    </row>
    <row r="207" customFormat="false" ht="14.25" hidden="false" customHeight="false" outlineLevel="0" collapsed="false">
      <c r="A207" s="107" t="s">
        <v>278</v>
      </c>
      <c r="B207" s="24" t="s">
        <v>57</v>
      </c>
      <c r="C207" s="23" t="s">
        <v>69</v>
      </c>
      <c r="D207" s="25" t="s">
        <v>70</v>
      </c>
      <c r="E207" s="23" t="s">
        <v>19</v>
      </c>
      <c r="F207" s="26" t="n">
        <f aca="false">F205</f>
        <v>195</v>
      </c>
      <c r="G207" s="27" t="n">
        <v>18.8</v>
      </c>
      <c r="H207" s="112"/>
      <c r="I207" s="112"/>
      <c r="J207" s="112"/>
      <c r="K207" s="112"/>
      <c r="L207" s="29"/>
      <c r="M207" s="29"/>
      <c r="N207" s="29"/>
      <c r="O207" s="29"/>
      <c r="P207" s="29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</row>
    <row r="208" customFormat="false" ht="14.9" hidden="false" customHeight="false" outlineLevel="0" collapsed="false">
      <c r="A208" s="107" t="s">
        <v>279</v>
      </c>
      <c r="B208" s="24" t="s">
        <v>57</v>
      </c>
      <c r="C208" s="23" t="n">
        <v>94990</v>
      </c>
      <c r="D208" s="41" t="s">
        <v>266</v>
      </c>
      <c r="E208" s="23" t="s">
        <v>49</v>
      </c>
      <c r="F208" s="111" t="n">
        <f aca="false">E204*0.15</f>
        <v>29.25</v>
      </c>
      <c r="G208" s="37" t="n">
        <v>693.49</v>
      </c>
      <c r="H208" s="112"/>
      <c r="I208" s="112"/>
      <c r="J208" s="112"/>
      <c r="K208" s="112"/>
    </row>
    <row r="209" customFormat="false" ht="14.25" hidden="false" customHeight="false" outlineLevel="0" collapsed="false">
      <c r="A209" s="107" t="s">
        <v>280</v>
      </c>
      <c r="B209" s="24" t="s">
        <v>57</v>
      </c>
      <c r="C209" s="23" t="n">
        <v>101094</v>
      </c>
      <c r="D209" s="41" t="s">
        <v>268</v>
      </c>
      <c r="E209" s="23" t="s">
        <v>24</v>
      </c>
      <c r="F209" s="111" t="n">
        <v>80</v>
      </c>
      <c r="G209" s="37" t="n">
        <v>169.16</v>
      </c>
      <c r="H209" s="112"/>
      <c r="I209" s="112"/>
      <c r="J209" s="112"/>
      <c r="K209" s="112"/>
    </row>
    <row r="210" customFormat="false" ht="14.25" hidden="false" customHeight="false" outlineLevel="0" collapsed="false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29"/>
      <c r="M210" s="29"/>
      <c r="N210" s="29"/>
      <c r="O210" s="29"/>
      <c r="P210" s="29"/>
    </row>
    <row r="211" customFormat="false" ht="14.25" hidden="false" customHeight="false" outlineLevel="0" collapsed="false">
      <c r="A211" s="104" t="s">
        <v>285</v>
      </c>
      <c r="B211" s="165" t="s">
        <v>286</v>
      </c>
      <c r="C211" s="165"/>
      <c r="D211" s="165"/>
      <c r="E211" s="165"/>
      <c r="F211" s="165"/>
      <c r="G211" s="165"/>
      <c r="H211" s="165"/>
      <c r="I211" s="165"/>
      <c r="J211" s="165"/>
      <c r="K211" s="165"/>
    </row>
    <row r="212" customFormat="false" ht="14.25" hidden="false" customHeight="false" outlineLevel="0" collapsed="false">
      <c r="A212" s="107" t="s">
        <v>287</v>
      </c>
      <c r="B212" s="30" t="s">
        <v>21</v>
      </c>
      <c r="C212" s="23" t="s">
        <v>251</v>
      </c>
      <c r="D212" s="41" t="s">
        <v>252</v>
      </c>
      <c r="E212" s="23" t="s">
        <v>49</v>
      </c>
      <c r="F212" s="111" t="n">
        <f aca="false">G214</f>
        <v>8.1</v>
      </c>
      <c r="G212" s="112"/>
      <c r="H212" s="112"/>
      <c r="I212" s="112"/>
      <c r="J212" s="112"/>
      <c r="K212" s="112"/>
    </row>
    <row r="213" customFormat="false" ht="14.25" hidden="false" customHeight="false" outlineLevel="0" collapsed="false">
      <c r="A213" s="107"/>
      <c r="B213" s="107"/>
      <c r="C213" s="107"/>
      <c r="D213" s="107"/>
      <c r="E213" s="123" t="s">
        <v>19</v>
      </c>
      <c r="F213" s="166" t="s">
        <v>900</v>
      </c>
      <c r="G213" s="167" t="s">
        <v>49</v>
      </c>
      <c r="H213" s="112"/>
      <c r="I213" s="112"/>
      <c r="J213" s="112"/>
      <c r="K213" s="112"/>
    </row>
    <row r="214" customFormat="false" ht="14.25" hidden="false" customHeight="false" outlineLevel="0" collapsed="false">
      <c r="A214" s="107"/>
      <c r="B214" s="107"/>
      <c r="C214" s="107"/>
      <c r="D214" s="107"/>
      <c r="E214" s="123" t="n">
        <f aca="false">6*9</f>
        <v>54</v>
      </c>
      <c r="F214" s="166" t="n">
        <v>0.15</v>
      </c>
      <c r="G214" s="170" t="n">
        <f aca="false">SUM(F214*E214)</f>
        <v>8.1</v>
      </c>
      <c r="H214" s="112"/>
      <c r="I214" s="112"/>
      <c r="J214" s="112"/>
      <c r="K214" s="112"/>
    </row>
    <row r="215" customFormat="false" ht="21.6" hidden="false" customHeight="false" outlineLevel="0" collapsed="false">
      <c r="A215" s="107" t="s">
        <v>901</v>
      </c>
      <c r="B215" s="31" t="s">
        <v>26</v>
      </c>
      <c r="C215" s="23" t="s">
        <v>47</v>
      </c>
      <c r="D215" s="25" t="s">
        <v>48</v>
      </c>
      <c r="E215" s="23" t="s">
        <v>49</v>
      </c>
      <c r="F215" s="168" t="n">
        <f aca="false">F212</f>
        <v>8.1</v>
      </c>
      <c r="G215" s="169"/>
      <c r="H215" s="169"/>
      <c r="I215" s="169"/>
      <c r="J215" s="169"/>
      <c r="K215" s="169"/>
    </row>
    <row r="216" customFormat="false" ht="14.25" hidden="false" customHeight="false" outlineLevel="0" collapsed="false">
      <c r="A216" s="107" t="s">
        <v>902</v>
      </c>
      <c r="B216" s="31" t="s">
        <v>26</v>
      </c>
      <c r="C216" s="23" t="s">
        <v>51</v>
      </c>
      <c r="D216" s="41" t="s">
        <v>52</v>
      </c>
      <c r="E216" s="23" t="s">
        <v>49</v>
      </c>
      <c r="F216" s="111" t="n">
        <f aca="false">F215</f>
        <v>8.1</v>
      </c>
      <c r="G216" s="169"/>
      <c r="H216" s="169"/>
      <c r="I216" s="169"/>
      <c r="J216" s="169"/>
      <c r="K216" s="16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customFormat="false" ht="14.9" hidden="false" customHeight="false" outlineLevel="0" collapsed="false">
      <c r="A217" s="107" t="s">
        <v>903</v>
      </c>
      <c r="B217" s="24" t="s">
        <v>57</v>
      </c>
      <c r="C217" s="23" t="n">
        <v>100324</v>
      </c>
      <c r="D217" s="41" t="s">
        <v>262</v>
      </c>
      <c r="E217" s="23" t="s">
        <v>49</v>
      </c>
      <c r="F217" s="111" t="n">
        <f aca="false">G219</f>
        <v>2.7</v>
      </c>
      <c r="G217" s="169"/>
      <c r="H217" s="169"/>
      <c r="I217" s="169"/>
      <c r="J217" s="169"/>
      <c r="K217" s="169"/>
    </row>
    <row r="218" customFormat="false" ht="14.25" hidden="false" customHeight="false" outlineLevel="0" collapsed="false">
      <c r="A218" s="107"/>
      <c r="B218" s="107"/>
      <c r="C218" s="107"/>
      <c r="D218" s="107"/>
      <c r="E218" s="123" t="s">
        <v>19</v>
      </c>
      <c r="F218" s="166" t="s">
        <v>900</v>
      </c>
      <c r="G218" s="167" t="s">
        <v>49</v>
      </c>
      <c r="H218" s="112"/>
      <c r="I218" s="112"/>
      <c r="J218" s="112"/>
      <c r="K218" s="112"/>
    </row>
    <row r="219" customFormat="false" ht="14.25" hidden="false" customHeight="false" outlineLevel="0" collapsed="false">
      <c r="A219" s="107"/>
      <c r="B219" s="107"/>
      <c r="C219" s="107"/>
      <c r="D219" s="107"/>
      <c r="E219" s="123" t="n">
        <f aca="false">E214</f>
        <v>54</v>
      </c>
      <c r="F219" s="166" t="n">
        <v>0.05</v>
      </c>
      <c r="G219" s="170" t="n">
        <f aca="false">SUM(F219*E219)</f>
        <v>2.7</v>
      </c>
      <c r="H219" s="112"/>
      <c r="I219" s="112"/>
      <c r="J219" s="112"/>
      <c r="K219" s="112"/>
    </row>
    <row r="220" customFormat="false" ht="14.9" hidden="false" customHeight="false" outlineLevel="0" collapsed="false">
      <c r="A220" s="107" t="s">
        <v>904</v>
      </c>
      <c r="B220" s="24" t="s">
        <v>57</v>
      </c>
      <c r="C220" s="23" t="n">
        <v>101749</v>
      </c>
      <c r="D220" s="41" t="s">
        <v>264</v>
      </c>
      <c r="E220" s="23" t="s">
        <v>19</v>
      </c>
      <c r="F220" s="111" t="n">
        <f aca="false">E219</f>
        <v>54</v>
      </c>
      <c r="G220" s="112"/>
      <c r="H220" s="112"/>
      <c r="I220" s="112"/>
      <c r="J220" s="112"/>
      <c r="K220" s="112"/>
    </row>
    <row r="221" customFormat="false" ht="14.25" hidden="false" customHeight="false" outlineLevel="0" collapsed="false">
      <c r="A221" s="107" t="s">
        <v>905</v>
      </c>
      <c r="B221" s="24" t="s">
        <v>64</v>
      </c>
      <c r="C221" s="23" t="n">
        <v>97113</v>
      </c>
      <c r="D221" s="25" t="s">
        <v>65</v>
      </c>
      <c r="E221" s="23" t="s">
        <v>19</v>
      </c>
      <c r="F221" s="111" t="n">
        <f aca="false">F220</f>
        <v>54</v>
      </c>
      <c r="G221" s="112"/>
      <c r="H221" s="112"/>
      <c r="I221" s="112"/>
      <c r="J221" s="112"/>
      <c r="K221" s="112"/>
    </row>
    <row r="222" customFormat="false" ht="14.25" hidden="false" customHeight="false" outlineLevel="0" collapsed="false">
      <c r="A222" s="107" t="s">
        <v>906</v>
      </c>
      <c r="B222" s="30" t="s">
        <v>21</v>
      </c>
      <c r="C222" s="23" t="s">
        <v>69</v>
      </c>
      <c r="D222" s="25" t="s">
        <v>70</v>
      </c>
      <c r="E222" s="23" t="s">
        <v>19</v>
      </c>
      <c r="F222" s="26" t="n">
        <f aca="false">F221</f>
        <v>54</v>
      </c>
      <c r="G222" s="112"/>
      <c r="H222" s="112"/>
      <c r="I222" s="112"/>
      <c r="J222" s="112"/>
      <c r="K222" s="112"/>
      <c r="L222" s="29"/>
      <c r="M222" s="29"/>
      <c r="N222" s="29"/>
      <c r="O222" s="29"/>
      <c r="P222" s="29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</row>
    <row r="223" customFormat="false" ht="14.25" hidden="false" customHeight="false" outlineLevel="0" collapsed="false">
      <c r="A223" s="107" t="s">
        <v>907</v>
      </c>
      <c r="B223" s="30" t="s">
        <v>21</v>
      </c>
      <c r="C223" s="23" t="s">
        <v>281</v>
      </c>
      <c r="D223" s="41" t="s">
        <v>282</v>
      </c>
      <c r="E223" s="23" t="s">
        <v>19</v>
      </c>
      <c r="F223" s="111" t="n">
        <f aca="false">F220</f>
        <v>54</v>
      </c>
      <c r="G223" s="112"/>
      <c r="H223" s="112"/>
      <c r="I223" s="112"/>
      <c r="J223" s="112"/>
      <c r="K223" s="112"/>
    </row>
    <row r="224" customFormat="false" ht="14.25" hidden="false" customHeight="false" outlineLevel="0" collapsed="false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customFormat="false" ht="14.25" hidden="false" customHeight="false" outlineLevel="0" collapsed="false">
      <c r="A225" s="104" t="s">
        <v>289</v>
      </c>
      <c r="B225" s="165" t="s">
        <v>290</v>
      </c>
      <c r="C225" s="165"/>
      <c r="D225" s="165"/>
      <c r="E225" s="165"/>
      <c r="F225" s="165"/>
      <c r="G225" s="165"/>
      <c r="H225" s="165"/>
      <c r="I225" s="165"/>
      <c r="J225" s="165"/>
      <c r="K225" s="165"/>
    </row>
    <row r="226" customFormat="false" ht="14.9" hidden="false" customHeight="false" outlineLevel="0" collapsed="false">
      <c r="A226" s="107" t="s">
        <v>291</v>
      </c>
      <c r="B226" s="24" t="s">
        <v>57</v>
      </c>
      <c r="C226" s="23" t="n">
        <v>103195</v>
      </c>
      <c r="D226" s="41" t="s">
        <v>292</v>
      </c>
      <c r="E226" s="23" t="s">
        <v>39</v>
      </c>
      <c r="F226" s="111" t="n">
        <v>1</v>
      </c>
      <c r="G226" s="112"/>
      <c r="H226" s="112"/>
      <c r="I226" s="112"/>
      <c r="J226" s="112"/>
      <c r="K226" s="112"/>
    </row>
    <row r="227" customFormat="false" ht="21.6" hidden="false" customHeight="false" outlineLevel="0" collapsed="false">
      <c r="A227" s="107" t="s">
        <v>293</v>
      </c>
      <c r="B227" s="24" t="s">
        <v>57</v>
      </c>
      <c r="C227" s="23" t="n">
        <v>103190</v>
      </c>
      <c r="D227" s="41" t="s">
        <v>294</v>
      </c>
      <c r="E227" s="23" t="s">
        <v>39</v>
      </c>
      <c r="F227" s="111" t="n">
        <v>2</v>
      </c>
      <c r="G227" s="112"/>
      <c r="H227" s="112"/>
      <c r="I227" s="112"/>
      <c r="J227" s="112"/>
      <c r="K227" s="112"/>
    </row>
    <row r="228" customFormat="false" ht="21.6" hidden="false" customHeight="false" outlineLevel="0" collapsed="false">
      <c r="A228" s="107" t="s">
        <v>295</v>
      </c>
      <c r="B228" s="24" t="s">
        <v>57</v>
      </c>
      <c r="C228" s="23" t="n">
        <v>103206</v>
      </c>
      <c r="D228" s="41" t="s">
        <v>296</v>
      </c>
      <c r="E228" s="23" t="s">
        <v>39</v>
      </c>
      <c r="F228" s="111" t="n">
        <v>1</v>
      </c>
      <c r="G228" s="112"/>
      <c r="H228" s="112"/>
      <c r="I228" s="112"/>
      <c r="J228" s="112"/>
      <c r="K228" s="112"/>
    </row>
    <row r="229" customFormat="false" ht="21.6" hidden="false" customHeight="false" outlineLevel="0" collapsed="false">
      <c r="A229" s="107" t="s">
        <v>297</v>
      </c>
      <c r="B229" s="24" t="s">
        <v>57</v>
      </c>
      <c r="C229" s="23" t="n">
        <v>103205</v>
      </c>
      <c r="D229" s="41" t="s">
        <v>298</v>
      </c>
      <c r="E229" s="23" t="s">
        <v>39</v>
      </c>
      <c r="F229" s="111" t="n">
        <v>1</v>
      </c>
      <c r="G229" s="112"/>
      <c r="H229" s="112"/>
      <c r="I229" s="112"/>
      <c r="J229" s="112"/>
      <c r="K229" s="112"/>
    </row>
    <row r="230" customFormat="false" ht="14.9" hidden="false" customHeight="false" outlineLevel="0" collapsed="false">
      <c r="A230" s="107" t="s">
        <v>299</v>
      </c>
      <c r="B230" s="24" t="s">
        <v>57</v>
      </c>
      <c r="C230" s="23" t="n">
        <v>103194</v>
      </c>
      <c r="D230" s="41" t="s">
        <v>300</v>
      </c>
      <c r="E230" s="23" t="s">
        <v>39</v>
      </c>
      <c r="F230" s="111" t="n">
        <v>2</v>
      </c>
      <c r="G230" s="112"/>
      <c r="H230" s="112"/>
      <c r="I230" s="112"/>
      <c r="J230" s="112"/>
      <c r="K230" s="112"/>
    </row>
    <row r="231" customFormat="false" ht="14.9" hidden="false" customHeight="false" outlineLevel="0" collapsed="false">
      <c r="A231" s="107" t="s">
        <v>301</v>
      </c>
      <c r="B231" s="24" t="s">
        <v>57</v>
      </c>
      <c r="C231" s="23" t="n">
        <v>103193</v>
      </c>
      <c r="D231" s="41" t="s">
        <v>302</v>
      </c>
      <c r="E231" s="23" t="s">
        <v>39</v>
      </c>
      <c r="F231" s="111" t="n">
        <v>1</v>
      </c>
      <c r="G231" s="112"/>
      <c r="H231" s="112"/>
      <c r="I231" s="112"/>
      <c r="J231" s="112"/>
      <c r="K231" s="112"/>
    </row>
    <row r="232" customFormat="false" ht="21.6" hidden="false" customHeight="false" outlineLevel="0" collapsed="false">
      <c r="A232" s="107" t="s">
        <v>303</v>
      </c>
      <c r="B232" s="24" t="s">
        <v>57</v>
      </c>
      <c r="C232" s="23" t="n">
        <v>103192</v>
      </c>
      <c r="D232" s="41" t="s">
        <v>304</v>
      </c>
      <c r="E232" s="23" t="s">
        <v>39</v>
      </c>
      <c r="F232" s="111" t="n">
        <v>2</v>
      </c>
      <c r="G232" s="112"/>
      <c r="H232" s="112"/>
      <c r="I232" s="112"/>
      <c r="J232" s="112"/>
      <c r="K232" s="112"/>
    </row>
    <row r="233" customFormat="false" ht="14.25" hidden="false" customHeight="false" outlineLevel="0" collapsed="false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customFormat="false" ht="14.25" hidden="false" customHeight="false" outlineLevel="0" collapsed="false">
      <c r="A234" s="104" t="s">
        <v>306</v>
      </c>
      <c r="B234" s="105" t="str">
        <f aca="false">ORÇAMENTO!B159:J159</f>
        <v>CONSTRUÇÃO DOS BANHEIROS - FEMININO E MASCULINO</v>
      </c>
      <c r="C234" s="105"/>
      <c r="D234" s="105"/>
      <c r="E234" s="105"/>
      <c r="F234" s="105"/>
      <c r="G234" s="105"/>
      <c r="H234" s="105"/>
      <c r="I234" s="105"/>
      <c r="J234" s="105"/>
      <c r="K234" s="106"/>
    </row>
    <row r="235" customFormat="false" ht="14.25" hidden="false" customHeight="false" outlineLevel="0" collapsed="false">
      <c r="A235" s="117" t="s">
        <v>97</v>
      </c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29"/>
      <c r="M235" s="29"/>
      <c r="N235" s="29"/>
      <c r="O235" s="29"/>
      <c r="P235" s="29"/>
    </row>
    <row r="236" customFormat="false" ht="14.25" hidden="false" customHeight="false" outlineLevel="0" collapsed="false">
      <c r="A236" s="107" t="s">
        <v>308</v>
      </c>
      <c r="B236" s="30" t="s">
        <v>21</v>
      </c>
      <c r="C236" s="23" t="s">
        <v>99</v>
      </c>
      <c r="D236" s="25" t="s">
        <v>100</v>
      </c>
      <c r="E236" s="23" t="s">
        <v>24</v>
      </c>
      <c r="F236" s="23" t="n">
        <f aca="false">E240</f>
        <v>60</v>
      </c>
      <c r="G236" s="109"/>
      <c r="H236" s="109"/>
      <c r="I236" s="109"/>
      <c r="J236" s="109"/>
      <c r="K236" s="109"/>
      <c r="L236" s="29"/>
      <c r="M236" s="29"/>
      <c r="N236" s="29"/>
      <c r="O236" s="29"/>
      <c r="P236" s="29"/>
    </row>
    <row r="237" customFormat="false" ht="14.25" hidden="false" customHeight="false" outlineLevel="0" collapsed="false">
      <c r="A237" s="150" t="s">
        <v>834</v>
      </c>
      <c r="B237" s="150"/>
      <c r="C237" s="150"/>
      <c r="D237" s="135" t="s">
        <v>835</v>
      </c>
      <c r="E237" s="135"/>
      <c r="F237" s="135"/>
      <c r="G237" s="135"/>
      <c r="H237" s="135"/>
      <c r="I237" s="135"/>
      <c r="J237" s="135"/>
      <c r="K237" s="135"/>
    </row>
    <row r="238" customFormat="false" ht="14.25" hidden="false" customHeight="false" outlineLevel="0" collapsed="false">
      <c r="A238" s="120"/>
      <c r="B238" s="120"/>
      <c r="C238" s="120"/>
      <c r="D238" s="121" t="s">
        <v>836</v>
      </c>
      <c r="E238" s="121" t="s">
        <v>837</v>
      </c>
      <c r="F238" s="121" t="s">
        <v>838</v>
      </c>
      <c r="G238" s="121"/>
      <c r="H238" s="122" t="s">
        <v>839</v>
      </c>
      <c r="I238" s="121" t="s">
        <v>840</v>
      </c>
      <c r="J238" s="124"/>
      <c r="K238" s="140"/>
    </row>
    <row r="239" customFormat="false" ht="14.25" hidden="false" customHeight="false" outlineLevel="0" collapsed="false">
      <c r="A239" s="120"/>
      <c r="B239" s="120"/>
      <c r="C239" s="120"/>
      <c r="D239" s="123"/>
      <c r="E239" s="123" t="n">
        <v>15</v>
      </c>
      <c r="F239" s="123" t="n">
        <v>4</v>
      </c>
      <c r="G239" s="123"/>
      <c r="H239" s="124" t="s">
        <v>841</v>
      </c>
      <c r="I239" s="124" t="n">
        <f aca="false">SUM(E239*F239)</f>
        <v>60</v>
      </c>
      <c r="J239" s="124"/>
      <c r="K239" s="140"/>
    </row>
    <row r="240" customFormat="false" ht="14.25" hidden="false" customHeight="false" outlineLevel="0" collapsed="false">
      <c r="A240" s="120"/>
      <c r="B240" s="120"/>
      <c r="C240" s="120"/>
      <c r="D240" s="121" t="s">
        <v>842</v>
      </c>
      <c r="E240" s="125" t="n">
        <f aca="false">SUM(I239:I239)</f>
        <v>60</v>
      </c>
      <c r="F240" s="125"/>
      <c r="G240" s="125"/>
      <c r="H240" s="126"/>
      <c r="I240" s="126"/>
      <c r="J240" s="126"/>
      <c r="K240" s="126"/>
    </row>
    <row r="241" customFormat="false" ht="14.25" hidden="false" customHeight="false" outlineLevel="0" collapsed="false">
      <c r="A241" s="107" t="s">
        <v>309</v>
      </c>
      <c r="B241" s="24" t="s">
        <v>57</v>
      </c>
      <c r="C241" s="23" t="n">
        <v>92800</v>
      </c>
      <c r="D241" s="25" t="s">
        <v>102</v>
      </c>
      <c r="E241" s="23" t="s">
        <v>103</v>
      </c>
      <c r="F241" s="23" t="n">
        <f aca="false">K246</f>
        <v>64.064</v>
      </c>
      <c r="G241" s="109"/>
      <c r="H241" s="109"/>
      <c r="I241" s="109"/>
      <c r="J241" s="109"/>
      <c r="K241" s="109"/>
      <c r="L241" s="29"/>
      <c r="M241" s="29"/>
      <c r="N241" s="29"/>
      <c r="O241" s="29"/>
      <c r="P241" s="29"/>
    </row>
    <row r="242" customFormat="false" ht="14.25" hidden="false" customHeight="false" outlineLevel="0" collapsed="false">
      <c r="A242" s="150" t="s">
        <v>834</v>
      </c>
      <c r="B242" s="150"/>
      <c r="C242" s="150"/>
      <c r="D242" s="135" t="s">
        <v>843</v>
      </c>
      <c r="E242" s="135"/>
      <c r="F242" s="135"/>
      <c r="G242" s="135"/>
      <c r="H242" s="135"/>
      <c r="I242" s="135"/>
      <c r="J242" s="135"/>
      <c r="K242" s="135"/>
    </row>
    <row r="243" customFormat="false" ht="14.25" hidden="false" customHeight="false" outlineLevel="0" collapsed="false">
      <c r="A243" s="134"/>
      <c r="B243" s="134"/>
      <c r="C243" s="134"/>
      <c r="D243" s="153" t="s">
        <v>908</v>
      </c>
      <c r="E243" s="172" t="n">
        <f aca="false">D244</f>
        <v>60</v>
      </c>
      <c r="F243" s="172"/>
      <c r="G243" s="172"/>
      <c r="H243" s="172"/>
      <c r="I243" s="172"/>
      <c r="J243" s="172"/>
      <c r="K243" s="155"/>
      <c r="L243" s="29"/>
      <c r="M243" s="29"/>
      <c r="N243" s="2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</row>
    <row r="244" customFormat="false" ht="14.25" hidden="false" customHeight="true" outlineLevel="0" collapsed="false">
      <c r="A244" s="134"/>
      <c r="B244" s="134"/>
      <c r="C244" s="134"/>
      <c r="D244" s="173" t="n">
        <f aca="false">E240</f>
        <v>60</v>
      </c>
      <c r="E244" s="153" t="s">
        <v>844</v>
      </c>
      <c r="F244" s="153"/>
      <c r="G244" s="153"/>
      <c r="H244" s="153"/>
      <c r="I244" s="153"/>
      <c r="J244" s="153"/>
      <c r="K244" s="137" t="n">
        <f aca="false">SUM(E243/0.15)</f>
        <v>400</v>
      </c>
      <c r="L244" s="29"/>
      <c r="M244" s="29"/>
      <c r="N244" s="2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</row>
    <row r="245" customFormat="false" ht="14.25" hidden="false" customHeight="true" outlineLevel="0" collapsed="false">
      <c r="A245" s="134"/>
      <c r="B245" s="134"/>
      <c r="C245" s="134"/>
      <c r="D245" s="134"/>
      <c r="E245" s="153" t="s">
        <v>845</v>
      </c>
      <c r="F245" s="153"/>
      <c r="G245" s="153"/>
      <c r="H245" s="153"/>
      <c r="I245" s="153"/>
      <c r="J245" s="153"/>
      <c r="K245" s="137" t="n">
        <f aca="false">SUM(K244*1.04)</f>
        <v>416</v>
      </c>
      <c r="L245" s="29"/>
      <c r="M245" s="29"/>
      <c r="N245" s="2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</row>
    <row r="246" customFormat="false" ht="14.25" hidden="false" customHeight="true" outlineLevel="0" collapsed="false">
      <c r="A246" s="134"/>
      <c r="B246" s="134"/>
      <c r="C246" s="134"/>
      <c r="D246" s="134"/>
      <c r="E246" s="153" t="s">
        <v>846</v>
      </c>
      <c r="F246" s="153"/>
      <c r="G246" s="153"/>
      <c r="H246" s="153"/>
      <c r="I246" s="153"/>
      <c r="J246" s="153"/>
      <c r="K246" s="135" t="n">
        <f aca="false">SUM(K245*0.154)</f>
        <v>64.064</v>
      </c>
      <c r="L246" s="29"/>
      <c r="M246" s="29"/>
      <c r="N246" s="2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</row>
    <row r="247" customFormat="false" ht="14.25" hidden="false" customHeight="false" outlineLevel="0" collapsed="false">
      <c r="A247" s="107" t="s">
        <v>310</v>
      </c>
      <c r="B247" s="24" t="s">
        <v>57</v>
      </c>
      <c r="C247" s="23" t="n">
        <v>92803</v>
      </c>
      <c r="D247" s="25" t="s">
        <v>105</v>
      </c>
      <c r="E247" s="23" t="s">
        <v>103</v>
      </c>
      <c r="F247" s="23" t="n">
        <f aca="false">K250</f>
        <v>148.08</v>
      </c>
      <c r="G247" s="109"/>
      <c r="H247" s="109"/>
      <c r="I247" s="109"/>
      <c r="J247" s="109"/>
      <c r="K247" s="109"/>
      <c r="L247" s="29"/>
      <c r="M247" s="29"/>
      <c r="N247" s="29"/>
      <c r="O247" s="29"/>
      <c r="P247" s="2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customFormat="false" ht="14.25" hidden="false" customHeight="false" outlineLevel="0" collapsed="false">
      <c r="A248" s="134"/>
      <c r="B248" s="134"/>
      <c r="C248" s="134"/>
      <c r="D248" s="134"/>
      <c r="E248" s="131" t="n">
        <f aca="false">E240</f>
        <v>60</v>
      </c>
      <c r="F248" s="131"/>
      <c r="G248" s="131"/>
      <c r="H248" s="131"/>
      <c r="I248" s="131"/>
      <c r="J248" s="131"/>
      <c r="K248" s="130"/>
      <c r="L248" s="29"/>
      <c r="M248" s="29"/>
      <c r="N248" s="2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</row>
    <row r="249" customFormat="false" ht="14.25" hidden="false" customHeight="true" outlineLevel="0" collapsed="false">
      <c r="A249" s="134"/>
      <c r="B249" s="134"/>
      <c r="C249" s="134"/>
      <c r="D249" s="134"/>
      <c r="E249" s="131" t="s">
        <v>847</v>
      </c>
      <c r="F249" s="131"/>
      <c r="G249" s="131"/>
      <c r="H249" s="131"/>
      <c r="I249" s="131"/>
      <c r="J249" s="131"/>
      <c r="K249" s="132" t="n">
        <f aca="false">SUM(E248*4)</f>
        <v>240</v>
      </c>
      <c r="L249" s="29"/>
      <c r="M249" s="29"/>
      <c r="N249" s="2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</row>
    <row r="250" customFormat="false" ht="14.25" hidden="false" customHeight="true" outlineLevel="0" collapsed="false">
      <c r="A250" s="134"/>
      <c r="B250" s="134"/>
      <c r="C250" s="134"/>
      <c r="D250" s="134"/>
      <c r="E250" s="131" t="s">
        <v>848</v>
      </c>
      <c r="F250" s="131"/>
      <c r="G250" s="131"/>
      <c r="H250" s="131"/>
      <c r="I250" s="131"/>
      <c r="J250" s="131"/>
      <c r="K250" s="132" t="n">
        <f aca="false">SUM(K249*0.617)</f>
        <v>148.08</v>
      </c>
      <c r="L250" s="29"/>
      <c r="M250" s="29"/>
      <c r="N250" s="2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</row>
    <row r="251" customFormat="false" ht="14.9" hidden="false" customHeight="false" outlineLevel="0" collapsed="false">
      <c r="A251" s="107" t="s">
        <v>311</v>
      </c>
      <c r="B251" s="24" t="s">
        <v>57</v>
      </c>
      <c r="C251" s="23" t="n">
        <v>96526</v>
      </c>
      <c r="D251" s="25" t="s">
        <v>107</v>
      </c>
      <c r="E251" s="23" t="s">
        <v>49</v>
      </c>
      <c r="F251" s="23" t="n">
        <f aca="false">I254</f>
        <v>5.832</v>
      </c>
      <c r="G251" s="109"/>
      <c r="H251" s="109"/>
      <c r="I251" s="109"/>
      <c r="J251" s="109"/>
      <c r="K251" s="109"/>
      <c r="L251" s="29"/>
      <c r="M251" s="29"/>
      <c r="N251" s="29"/>
      <c r="O251" s="29"/>
      <c r="P251" s="29"/>
    </row>
    <row r="252" customFormat="false" ht="14.25" hidden="false" customHeight="false" outlineLevel="0" collapsed="false">
      <c r="A252" s="107"/>
      <c r="B252" s="107"/>
      <c r="C252" s="107"/>
      <c r="D252" s="107"/>
      <c r="E252" s="107"/>
      <c r="F252" s="107"/>
      <c r="G252" s="107"/>
      <c r="H252" s="107"/>
      <c r="I252" s="135" t="s">
        <v>849</v>
      </c>
      <c r="J252" s="135"/>
      <c r="K252" s="135"/>
    </row>
    <row r="253" customFormat="false" ht="14.25" hidden="false" customHeight="false" outlineLevel="0" collapsed="false">
      <c r="A253" s="174"/>
      <c r="B253" s="174"/>
      <c r="C253" s="174"/>
      <c r="D253" s="174"/>
      <c r="E253" s="174"/>
      <c r="F253" s="174"/>
      <c r="G253" s="174"/>
      <c r="H253" s="123" t="n">
        <f aca="false">(12.5*3)+(3.7*3)</f>
        <v>48.6</v>
      </c>
      <c r="I253" s="135" t="n">
        <f aca="false">H253*0.3*0.4</f>
        <v>5.832</v>
      </c>
      <c r="J253" s="135"/>
      <c r="K253" s="135"/>
    </row>
    <row r="254" customFormat="false" ht="14.25" hidden="false" customHeight="false" outlineLevel="0" collapsed="false">
      <c r="A254" s="134"/>
      <c r="B254" s="134"/>
      <c r="C254" s="134"/>
      <c r="D254" s="134"/>
      <c r="E254" s="136" t="s">
        <v>851</v>
      </c>
      <c r="F254" s="136"/>
      <c r="G254" s="136"/>
      <c r="H254" s="136"/>
      <c r="I254" s="137" t="n">
        <f aca="false">SUM(I253:K253)</f>
        <v>5.832</v>
      </c>
      <c r="J254" s="137"/>
      <c r="K254" s="137"/>
    </row>
    <row r="255" customFormat="false" ht="14.9" hidden="false" customHeight="false" outlineLevel="0" collapsed="false">
      <c r="A255" s="107" t="s">
        <v>312</v>
      </c>
      <c r="B255" s="24" t="s">
        <v>57</v>
      </c>
      <c r="C255" s="23" t="n">
        <v>101619</v>
      </c>
      <c r="D255" s="25" t="s">
        <v>109</v>
      </c>
      <c r="E255" s="23" t="s">
        <v>49</v>
      </c>
      <c r="F255" s="23" t="n">
        <f aca="false">SUM(E256:E256)</f>
        <v>1.458</v>
      </c>
      <c r="G255" s="138"/>
      <c r="H255" s="138"/>
      <c r="I255" s="138"/>
      <c r="J255" s="138"/>
      <c r="K255" s="138"/>
      <c r="L255" s="29"/>
      <c r="M255" s="29"/>
      <c r="N255" s="29"/>
      <c r="O255" s="29"/>
      <c r="P255" s="29"/>
    </row>
    <row r="256" customFormat="false" ht="14.25" hidden="false" customHeight="false" outlineLevel="0" collapsed="false">
      <c r="A256" s="107"/>
      <c r="B256" s="107"/>
      <c r="C256" s="107"/>
      <c r="D256" s="107"/>
      <c r="E256" s="123" t="n">
        <f aca="false">H253*0.3*0.1</f>
        <v>1.458</v>
      </c>
      <c r="F256" s="23"/>
      <c r="G256" s="138"/>
      <c r="H256" s="138"/>
      <c r="I256" s="138"/>
      <c r="J256" s="138"/>
      <c r="K256" s="138"/>
      <c r="L256" s="29"/>
      <c r="M256" s="29"/>
      <c r="N256" s="29"/>
      <c r="O256" s="29"/>
      <c r="P256" s="29"/>
    </row>
    <row r="257" customFormat="false" ht="14.25" hidden="false" customHeight="false" outlineLevel="0" collapsed="false">
      <c r="A257" s="107" t="s">
        <v>313</v>
      </c>
      <c r="B257" s="24" t="s">
        <v>57</v>
      </c>
      <c r="C257" s="23" t="n">
        <v>92800</v>
      </c>
      <c r="D257" s="25" t="s">
        <v>102</v>
      </c>
      <c r="E257" s="23" t="s">
        <v>103</v>
      </c>
      <c r="F257" s="23" t="n">
        <f aca="false">K261+K1175+K1180</f>
        <v>71.85024</v>
      </c>
      <c r="G257" s="138"/>
      <c r="H257" s="138"/>
      <c r="I257" s="138"/>
      <c r="J257" s="138"/>
      <c r="K257" s="138"/>
      <c r="L257" s="29"/>
      <c r="M257" s="29"/>
      <c r="N257" s="29"/>
      <c r="O257" s="29"/>
      <c r="P257" s="29"/>
    </row>
    <row r="258" customFormat="false" ht="14.25" hidden="false" customHeight="false" outlineLevel="0" collapsed="false">
      <c r="A258" s="157"/>
      <c r="B258" s="157"/>
      <c r="C258" s="157"/>
      <c r="D258" s="131"/>
      <c r="E258" s="131" t="n">
        <f aca="false">SUM(H253:H253)</f>
        <v>48.6</v>
      </c>
      <c r="F258" s="131"/>
      <c r="G258" s="131"/>
      <c r="H258" s="131"/>
      <c r="I258" s="131"/>
      <c r="J258" s="131"/>
      <c r="K258" s="130"/>
      <c r="L258" s="29"/>
      <c r="M258" s="29"/>
      <c r="N258" s="2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</row>
    <row r="259" customFormat="false" ht="14.25" hidden="false" customHeight="true" outlineLevel="0" collapsed="false">
      <c r="A259" s="148"/>
      <c r="B259" s="148"/>
      <c r="C259" s="148"/>
      <c r="D259" s="141"/>
      <c r="E259" s="131" t="s">
        <v>852</v>
      </c>
      <c r="F259" s="131"/>
      <c r="G259" s="131"/>
      <c r="H259" s="131"/>
      <c r="I259" s="131"/>
      <c r="J259" s="131"/>
      <c r="K259" s="132" t="n">
        <f aca="false">SUM(E258/0.15)</f>
        <v>324</v>
      </c>
      <c r="L259" s="29"/>
      <c r="M259" s="29"/>
      <c r="N259" s="2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</row>
    <row r="260" customFormat="false" ht="14.25" hidden="false" customHeight="true" outlineLevel="0" collapsed="false">
      <c r="A260" s="157"/>
      <c r="B260" s="157"/>
      <c r="C260" s="157"/>
      <c r="D260" s="157"/>
      <c r="E260" s="131" t="s">
        <v>853</v>
      </c>
      <c r="F260" s="131"/>
      <c r="G260" s="131"/>
      <c r="H260" s="131"/>
      <c r="I260" s="131"/>
      <c r="J260" s="131"/>
      <c r="K260" s="132" t="n">
        <f aca="false">SUM(K259*1.44)</f>
        <v>466.56</v>
      </c>
      <c r="L260" s="29"/>
      <c r="M260" s="29"/>
      <c r="N260" s="2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</row>
    <row r="261" customFormat="false" ht="14.25" hidden="false" customHeight="true" outlineLevel="0" collapsed="false">
      <c r="A261" s="157"/>
      <c r="B261" s="157"/>
      <c r="C261" s="157"/>
      <c r="D261" s="157"/>
      <c r="E261" s="131" t="s">
        <v>854</v>
      </c>
      <c r="F261" s="131"/>
      <c r="G261" s="131"/>
      <c r="H261" s="131"/>
      <c r="I261" s="131"/>
      <c r="J261" s="131"/>
      <c r="K261" s="133" t="n">
        <f aca="false">SUM(K260*0.154)</f>
        <v>71.85024</v>
      </c>
      <c r="L261" s="29"/>
      <c r="M261" s="29"/>
      <c r="N261" s="2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</row>
    <row r="262" customFormat="false" ht="14.25" hidden="false" customHeight="false" outlineLevel="0" collapsed="false">
      <c r="A262" s="107" t="s">
        <v>314</v>
      </c>
      <c r="B262" s="24" t="s">
        <v>57</v>
      </c>
      <c r="C262" s="23" t="n">
        <v>92803</v>
      </c>
      <c r="D262" s="25" t="s">
        <v>105</v>
      </c>
      <c r="E262" s="23" t="s">
        <v>103</v>
      </c>
      <c r="F262" s="23" t="n">
        <f aca="false">K265</f>
        <v>119.9448</v>
      </c>
      <c r="G262" s="109"/>
      <c r="H262" s="109"/>
      <c r="I262" s="109"/>
      <c r="J262" s="109"/>
      <c r="K262" s="109"/>
      <c r="L262" s="29"/>
      <c r="M262" s="29"/>
      <c r="N262" s="29"/>
      <c r="O262" s="29"/>
      <c r="P262" s="2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customFormat="false" ht="14.25" hidden="false" customHeight="false" outlineLevel="0" collapsed="false">
      <c r="A263" s="157"/>
      <c r="B263" s="157"/>
      <c r="C263" s="157"/>
      <c r="D263" s="131"/>
      <c r="E263" s="131" t="n">
        <f aca="false">E258</f>
        <v>48.6</v>
      </c>
      <c r="F263" s="131"/>
      <c r="G263" s="131"/>
      <c r="H263" s="131"/>
      <c r="I263" s="131"/>
      <c r="J263" s="131"/>
      <c r="K263" s="130"/>
      <c r="L263" s="29"/>
      <c r="M263" s="29"/>
      <c r="N263" s="2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</row>
    <row r="264" customFormat="false" ht="14.25" hidden="false" customHeight="true" outlineLevel="0" collapsed="false">
      <c r="A264" s="148"/>
      <c r="B264" s="148"/>
      <c r="C264" s="148"/>
      <c r="D264" s="141"/>
      <c r="E264" s="131" t="s">
        <v>855</v>
      </c>
      <c r="F264" s="131"/>
      <c r="G264" s="131"/>
      <c r="H264" s="131"/>
      <c r="I264" s="131"/>
      <c r="J264" s="131"/>
      <c r="K264" s="132" t="n">
        <f aca="false">SUM(E263*4)</f>
        <v>194.4</v>
      </c>
      <c r="L264" s="29"/>
      <c r="M264" s="29"/>
      <c r="N264" s="2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</row>
    <row r="265" customFormat="false" ht="14.25" hidden="false" customHeight="true" outlineLevel="0" collapsed="false">
      <c r="A265" s="157"/>
      <c r="B265" s="157"/>
      <c r="C265" s="157"/>
      <c r="D265" s="157"/>
      <c r="E265" s="131" t="s">
        <v>856</v>
      </c>
      <c r="F265" s="131"/>
      <c r="G265" s="131"/>
      <c r="H265" s="131"/>
      <c r="I265" s="131"/>
      <c r="J265" s="131"/>
      <c r="K265" s="132" t="n">
        <f aca="false">SUM(K264*0.617)</f>
        <v>119.9448</v>
      </c>
      <c r="L265" s="29"/>
      <c r="M265" s="29"/>
      <c r="N265" s="2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</row>
    <row r="266" customFormat="false" ht="14.9" hidden="false" customHeight="false" outlineLevel="0" collapsed="false">
      <c r="A266" s="107" t="s">
        <v>315</v>
      </c>
      <c r="B266" s="24" t="s">
        <v>57</v>
      </c>
      <c r="C266" s="23" t="n">
        <v>96557</v>
      </c>
      <c r="D266" s="25" t="s">
        <v>113</v>
      </c>
      <c r="E266" s="23" t="s">
        <v>49</v>
      </c>
      <c r="F266" s="23" t="n">
        <f aca="false">I254</f>
        <v>5.832</v>
      </c>
      <c r="G266" s="138"/>
      <c r="H266" s="138"/>
      <c r="I266" s="138"/>
      <c r="J266" s="138"/>
      <c r="K266" s="138"/>
      <c r="L266" s="29"/>
      <c r="M266" s="29"/>
      <c r="N266" s="29"/>
      <c r="O266" s="29"/>
      <c r="P266" s="2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customFormat="false" ht="14.9" hidden="false" customHeight="false" outlineLevel="0" collapsed="false">
      <c r="A267" s="107" t="s">
        <v>316</v>
      </c>
      <c r="B267" s="24" t="s">
        <v>57</v>
      </c>
      <c r="C267" s="23" t="n">
        <v>101165</v>
      </c>
      <c r="D267" s="25" t="s">
        <v>115</v>
      </c>
      <c r="E267" s="23" t="s">
        <v>49</v>
      </c>
      <c r="F267" s="26" t="n">
        <f aca="false">SUM(E268:E268)</f>
        <v>4.1553</v>
      </c>
      <c r="G267" s="138"/>
      <c r="H267" s="138"/>
      <c r="I267" s="138"/>
      <c r="J267" s="138"/>
      <c r="K267" s="138"/>
      <c r="L267" s="29"/>
      <c r="M267" s="29"/>
      <c r="N267" s="29"/>
      <c r="O267" s="29"/>
      <c r="P267" s="29"/>
    </row>
    <row r="268" customFormat="false" ht="14.25" hidden="false" customHeight="false" outlineLevel="0" collapsed="false">
      <c r="A268" s="107"/>
      <c r="B268" s="107"/>
      <c r="C268" s="107"/>
      <c r="D268" s="107"/>
      <c r="E268" s="123" t="n">
        <f aca="false">E258*0.45*0.19</f>
        <v>4.1553</v>
      </c>
      <c r="F268" s="23"/>
      <c r="G268" s="138"/>
      <c r="H268" s="138"/>
      <c r="I268" s="138"/>
      <c r="J268" s="138"/>
      <c r="K268" s="138"/>
      <c r="L268" s="29"/>
      <c r="M268" s="29"/>
      <c r="N268" s="29"/>
      <c r="O268" s="29"/>
      <c r="P268" s="29"/>
    </row>
    <row r="269" customFormat="false" ht="14.25" hidden="false" customHeight="false" outlineLevel="0" collapsed="false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29"/>
      <c r="M269" s="29"/>
      <c r="N269" s="29"/>
      <c r="O269" s="29"/>
      <c r="P269" s="29"/>
    </row>
    <row r="270" customFormat="false" ht="14.25" hidden="false" customHeight="false" outlineLevel="0" collapsed="false">
      <c r="A270" s="164" t="s">
        <v>607</v>
      </c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29"/>
      <c r="M270" s="29"/>
      <c r="N270" s="29"/>
      <c r="O270" s="29"/>
      <c r="P270" s="29"/>
    </row>
    <row r="271" customFormat="false" ht="21.6" hidden="false" customHeight="false" outlineLevel="0" collapsed="false">
      <c r="A271" s="107" t="s">
        <v>317</v>
      </c>
      <c r="B271" s="24" t="s">
        <v>57</v>
      </c>
      <c r="C271" s="23" t="n">
        <v>92415</v>
      </c>
      <c r="D271" s="25" t="s">
        <v>118</v>
      </c>
      <c r="E271" s="23" t="s">
        <v>19</v>
      </c>
      <c r="F271" s="26" t="n">
        <f aca="false">J275</f>
        <v>26.25</v>
      </c>
      <c r="G271" s="109"/>
      <c r="H271" s="109"/>
      <c r="I271" s="109"/>
      <c r="J271" s="109"/>
      <c r="K271" s="109"/>
      <c r="L271" s="29"/>
      <c r="M271" s="29"/>
      <c r="N271" s="29"/>
      <c r="O271" s="29"/>
      <c r="P271" s="2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customFormat="false" ht="14.25" hidden="false" customHeight="false" outlineLevel="0" collapsed="false">
      <c r="A272" s="150" t="s">
        <v>834</v>
      </c>
      <c r="B272" s="150"/>
      <c r="C272" s="150"/>
      <c r="D272" s="135" t="s">
        <v>843</v>
      </c>
      <c r="E272" s="135"/>
      <c r="F272" s="135"/>
      <c r="G272" s="135"/>
      <c r="H272" s="135"/>
      <c r="I272" s="135"/>
      <c r="J272" s="135"/>
      <c r="K272" s="135"/>
    </row>
    <row r="273" customFormat="false" ht="14.25" hidden="false" customHeight="false" outlineLevel="0" collapsed="false">
      <c r="A273" s="120"/>
      <c r="B273" s="120"/>
      <c r="C273" s="120"/>
      <c r="D273" s="121" t="s">
        <v>836</v>
      </c>
      <c r="E273" s="121" t="s">
        <v>837</v>
      </c>
      <c r="F273" s="121" t="s">
        <v>857</v>
      </c>
      <c r="G273" s="121"/>
      <c r="H273" s="121" t="s">
        <v>859</v>
      </c>
      <c r="I273" s="121"/>
      <c r="J273" s="121" t="s">
        <v>840</v>
      </c>
      <c r="K273" s="139"/>
    </row>
    <row r="274" customFormat="false" ht="14.25" hidden="false" customHeight="false" outlineLevel="0" collapsed="false">
      <c r="A274" s="120"/>
      <c r="B274" s="120"/>
      <c r="C274" s="120"/>
      <c r="D274" s="123"/>
      <c r="E274" s="123" t="n">
        <v>15</v>
      </c>
      <c r="F274" s="123" t="n">
        <v>3.5</v>
      </c>
      <c r="G274" s="123"/>
      <c r="H274" s="123" t="s">
        <v>861</v>
      </c>
      <c r="I274" s="123"/>
      <c r="J274" s="123" t="n">
        <f aca="false">(F274*0.25)*E274</f>
        <v>13.125</v>
      </c>
      <c r="K274" s="140" t="n">
        <f aca="false">(F274*0.25*0.25)*E274</f>
        <v>3.28125</v>
      </c>
    </row>
    <row r="275" customFormat="false" ht="14.25" hidden="false" customHeight="false" outlineLevel="0" collapsed="false">
      <c r="A275" s="120"/>
      <c r="B275" s="120"/>
      <c r="C275" s="120"/>
      <c r="D275" s="121" t="s">
        <v>840</v>
      </c>
      <c r="E275" s="121"/>
      <c r="F275" s="121"/>
      <c r="G275" s="121"/>
      <c r="H275" s="121"/>
      <c r="I275" s="121"/>
      <c r="J275" s="137" t="n">
        <f aca="false">J274*2</f>
        <v>26.25</v>
      </c>
      <c r="K275" s="137"/>
    </row>
    <row r="276" customFormat="false" ht="14.25" hidden="false" customHeight="false" outlineLevel="0" collapsed="false">
      <c r="A276" s="107" t="s">
        <v>318</v>
      </c>
      <c r="B276" s="24" t="s">
        <v>57</v>
      </c>
      <c r="C276" s="23" t="n">
        <v>92800</v>
      </c>
      <c r="D276" s="25" t="s">
        <v>102</v>
      </c>
      <c r="E276" s="23" t="s">
        <v>103</v>
      </c>
      <c r="F276" s="23" t="n">
        <f aca="false">SUM(K280+K1042+K1047+K1053+K1058+K1063+K1077+K1082+K1087+K1092+K1125+K1130+K1135+K1139+K1144)</f>
        <v>56.056</v>
      </c>
      <c r="G276" s="27"/>
      <c r="H276" s="27"/>
      <c r="I276" s="28"/>
      <c r="J276" s="27"/>
      <c r="K276" s="138"/>
      <c r="L276" s="29"/>
      <c r="M276" s="29"/>
      <c r="N276" s="29"/>
      <c r="O276" s="29"/>
      <c r="P276" s="29"/>
    </row>
    <row r="277" customFormat="false" ht="14.25" hidden="false" customHeight="false" outlineLevel="0" collapsed="false">
      <c r="A277" s="157"/>
      <c r="B277" s="157"/>
      <c r="C277" s="157"/>
      <c r="D277" s="131" t="s">
        <v>862</v>
      </c>
      <c r="E277" s="131" t="n">
        <f aca="false">SUM(F274*E274)</f>
        <v>52.5</v>
      </c>
      <c r="F277" s="131"/>
      <c r="G277" s="131"/>
      <c r="H277" s="131"/>
      <c r="I277" s="131"/>
      <c r="J277" s="131"/>
      <c r="K277" s="130"/>
      <c r="L277" s="29"/>
      <c r="M277" s="29"/>
      <c r="N277" s="2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</row>
    <row r="278" customFormat="false" ht="14.25" hidden="false" customHeight="true" outlineLevel="0" collapsed="false">
      <c r="A278" s="148"/>
      <c r="B278" s="148"/>
      <c r="C278" s="148"/>
      <c r="D278" s="148"/>
      <c r="E278" s="131" t="s">
        <v>863</v>
      </c>
      <c r="F278" s="131"/>
      <c r="G278" s="131"/>
      <c r="H278" s="131"/>
      <c r="I278" s="131"/>
      <c r="J278" s="131"/>
      <c r="K278" s="132" t="n">
        <f aca="false">SUM(E277/0.15)</f>
        <v>350</v>
      </c>
      <c r="L278" s="29"/>
      <c r="M278" s="29"/>
      <c r="N278" s="2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</row>
    <row r="279" customFormat="false" ht="14.25" hidden="false" customHeight="true" outlineLevel="0" collapsed="false">
      <c r="A279" s="148"/>
      <c r="B279" s="148"/>
      <c r="C279" s="148"/>
      <c r="D279" s="148"/>
      <c r="E279" s="131" t="s">
        <v>864</v>
      </c>
      <c r="F279" s="131"/>
      <c r="G279" s="131"/>
      <c r="H279" s="131"/>
      <c r="I279" s="131"/>
      <c r="J279" s="131"/>
      <c r="K279" s="132" t="n">
        <f aca="false">SUM(K278*1.04)</f>
        <v>364</v>
      </c>
      <c r="L279" s="29"/>
      <c r="M279" s="29"/>
      <c r="N279" s="2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</row>
    <row r="280" customFormat="false" ht="14.25" hidden="false" customHeight="true" outlineLevel="0" collapsed="false">
      <c r="A280" s="148"/>
      <c r="B280" s="148"/>
      <c r="C280" s="148"/>
      <c r="D280" s="148"/>
      <c r="E280" s="131" t="s">
        <v>865</v>
      </c>
      <c r="F280" s="131"/>
      <c r="G280" s="131"/>
      <c r="H280" s="131"/>
      <c r="I280" s="131"/>
      <c r="J280" s="131"/>
      <c r="K280" s="133" t="n">
        <f aca="false">SUM(K279*0.154)</f>
        <v>56.056</v>
      </c>
      <c r="L280" s="29"/>
      <c r="M280" s="29"/>
      <c r="N280" s="2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</row>
    <row r="281" customFormat="false" ht="14.25" hidden="false" customHeight="false" outlineLevel="0" collapsed="false">
      <c r="A281" s="107" t="s">
        <v>319</v>
      </c>
      <c r="B281" s="24" t="s">
        <v>57</v>
      </c>
      <c r="C281" s="23" t="n">
        <v>92803</v>
      </c>
      <c r="D281" s="25" t="s">
        <v>105</v>
      </c>
      <c r="E281" s="23" t="s">
        <v>103</v>
      </c>
      <c r="F281" s="26" t="n">
        <f aca="false">SUM(K284+K1041+K1045+K1050+K1054+K1058+K1062+K1075+K1079+K1083+K1087+K1091+K1123+K1127+K1131)</f>
        <v>129.57</v>
      </c>
      <c r="G281" s="27"/>
      <c r="H281" s="27"/>
      <c r="I281" s="28"/>
      <c r="J281" s="27"/>
      <c r="K281" s="138"/>
      <c r="L281" s="29"/>
      <c r="M281" s="29"/>
      <c r="N281" s="29"/>
      <c r="O281" s="29"/>
      <c r="P281" s="2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customFormat="false" ht="14.25" hidden="false" customHeight="false" outlineLevel="0" collapsed="false">
      <c r="A282" s="157"/>
      <c r="B282" s="157"/>
      <c r="C282" s="157"/>
      <c r="D282" s="131" t="str">
        <f aca="false">D277</f>
        <v>PILARES DE 25 CM</v>
      </c>
      <c r="E282" s="131" t="n">
        <f aca="false">E277</f>
        <v>52.5</v>
      </c>
      <c r="F282" s="131"/>
      <c r="G282" s="131"/>
      <c r="H282" s="131"/>
      <c r="I282" s="131"/>
      <c r="J282" s="131"/>
      <c r="K282" s="130"/>
      <c r="L282" s="29"/>
      <c r="M282" s="29"/>
      <c r="N282" s="2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</row>
    <row r="283" customFormat="false" ht="14.25" hidden="false" customHeight="true" outlineLevel="0" collapsed="false">
      <c r="A283" s="134"/>
      <c r="B283" s="134"/>
      <c r="C283" s="134"/>
      <c r="D283" s="134"/>
      <c r="E283" s="131" t="s">
        <v>866</v>
      </c>
      <c r="F283" s="131"/>
      <c r="G283" s="131"/>
      <c r="H283" s="131"/>
      <c r="I283" s="131"/>
      <c r="J283" s="131"/>
      <c r="K283" s="132" t="n">
        <f aca="false">SUM(E282*4)</f>
        <v>210</v>
      </c>
      <c r="L283" s="29"/>
      <c r="M283" s="29"/>
      <c r="N283" s="2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</row>
    <row r="284" customFormat="false" ht="14.25" hidden="false" customHeight="true" outlineLevel="0" collapsed="false">
      <c r="A284" s="134"/>
      <c r="B284" s="134"/>
      <c r="C284" s="134"/>
      <c r="D284" s="134"/>
      <c r="E284" s="131" t="s">
        <v>867</v>
      </c>
      <c r="F284" s="131"/>
      <c r="G284" s="131"/>
      <c r="H284" s="131"/>
      <c r="I284" s="131"/>
      <c r="J284" s="131"/>
      <c r="K284" s="132" t="n">
        <f aca="false">SUM(K283*0.617)</f>
        <v>129.57</v>
      </c>
      <c r="L284" s="29"/>
      <c r="M284" s="29"/>
      <c r="N284" s="2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</row>
    <row r="285" customFormat="false" ht="14.9" hidden="false" customHeight="false" outlineLevel="0" collapsed="false">
      <c r="A285" s="107" t="s">
        <v>320</v>
      </c>
      <c r="B285" s="24" t="s">
        <v>57</v>
      </c>
      <c r="C285" s="23" t="n">
        <v>103672</v>
      </c>
      <c r="D285" s="25" t="s">
        <v>122</v>
      </c>
      <c r="E285" s="23" t="s">
        <v>49</v>
      </c>
      <c r="F285" s="26" t="n">
        <f aca="false">SUM(K274:K274)</f>
        <v>3.28125</v>
      </c>
      <c r="G285" s="27"/>
      <c r="H285" s="27"/>
      <c r="I285" s="28"/>
      <c r="J285" s="27"/>
      <c r="K285" s="138"/>
      <c r="L285" s="29"/>
      <c r="M285" s="29"/>
      <c r="N285" s="29"/>
      <c r="O285" s="29"/>
      <c r="P285" s="29"/>
    </row>
    <row r="286" customFormat="false" ht="14.25" hidden="false" customHeight="false" outlineLevel="0" collapsed="false">
      <c r="A286" s="134"/>
      <c r="B286" s="134"/>
      <c r="C286" s="134"/>
      <c r="D286" s="134"/>
      <c r="E286" s="135" t="n">
        <f aca="false">SUM(E277*0.25*0.25)</f>
        <v>3.28125</v>
      </c>
      <c r="F286" s="135"/>
      <c r="G286" s="135"/>
      <c r="H286" s="135"/>
      <c r="I286" s="135"/>
      <c r="J286" s="135"/>
      <c r="K286" s="135"/>
      <c r="L286" s="29"/>
      <c r="M286" s="29"/>
      <c r="N286" s="29"/>
      <c r="O286" s="29"/>
      <c r="P286" s="29"/>
    </row>
    <row r="287" customFormat="false" ht="21.6" hidden="false" customHeight="false" outlineLevel="0" collapsed="false">
      <c r="A287" s="107" t="s">
        <v>321</v>
      </c>
      <c r="B287" s="24" t="s">
        <v>57</v>
      </c>
      <c r="C287" s="23" t="n">
        <v>103324</v>
      </c>
      <c r="D287" s="25" t="s">
        <v>124</v>
      </c>
      <c r="E287" s="23" t="s">
        <v>19</v>
      </c>
      <c r="F287" s="26" t="n">
        <f aca="false">K292</f>
        <v>196.37</v>
      </c>
      <c r="G287" s="27"/>
      <c r="H287" s="27"/>
      <c r="I287" s="28"/>
      <c r="J287" s="27"/>
      <c r="K287" s="138"/>
      <c r="L287" s="29"/>
      <c r="M287" s="29"/>
      <c r="N287" s="29"/>
      <c r="O287" s="29"/>
      <c r="P287" s="29"/>
    </row>
    <row r="288" customFormat="false" ht="21.6" hidden="false" customHeight="false" outlineLevel="0" collapsed="false">
      <c r="A288" s="134"/>
      <c r="B288" s="134"/>
      <c r="C288" s="134"/>
      <c r="D288" s="142"/>
      <c r="E288" s="123" t="s">
        <v>868</v>
      </c>
      <c r="F288" s="143" t="s">
        <v>909</v>
      </c>
      <c r="G288" s="144" t="s">
        <v>870</v>
      </c>
      <c r="H288" s="144" t="s">
        <v>871</v>
      </c>
      <c r="I288" s="145" t="s">
        <v>872</v>
      </c>
      <c r="J288" s="144" t="s">
        <v>873</v>
      </c>
      <c r="K288" s="146" t="s">
        <v>874</v>
      </c>
    </row>
    <row r="289" customFormat="false" ht="14.25" hidden="false" customHeight="false" outlineLevel="0" collapsed="false">
      <c r="A289" s="134"/>
      <c r="B289" s="134"/>
      <c r="C289" s="134"/>
      <c r="D289" s="153" t="e">
        <f aca="false">#REF!</f>
        <v>#REF!</v>
      </c>
      <c r="E289" s="123" t="n">
        <v>12</v>
      </c>
      <c r="F289" s="143" t="n">
        <v>3.5</v>
      </c>
      <c r="G289" s="123" t="n">
        <f aca="false">(0.25*F289)*5</f>
        <v>4.375</v>
      </c>
      <c r="H289" s="143" t="n">
        <v>0</v>
      </c>
      <c r="I289" s="153" t="n">
        <f aca="false">SUM(E289*0.4)</f>
        <v>4.8</v>
      </c>
      <c r="J289" s="143" t="n">
        <f aca="false">G289+H289+I289</f>
        <v>9.175</v>
      </c>
      <c r="K289" s="147" t="n">
        <f aca="false">SUM(E289*F289)-(J289)</f>
        <v>32.825</v>
      </c>
    </row>
    <row r="290" customFormat="false" ht="14.25" hidden="false" customHeight="false" outlineLevel="0" collapsed="false">
      <c r="A290" s="134"/>
      <c r="B290" s="134"/>
      <c r="C290" s="134"/>
      <c r="D290" s="153"/>
      <c r="E290" s="123" t="n">
        <v>12</v>
      </c>
      <c r="F290" s="143" t="n">
        <v>3.5</v>
      </c>
      <c r="G290" s="123" t="n">
        <f aca="false">(0.25*F290)*3</f>
        <v>2.625</v>
      </c>
      <c r="H290" s="143" t="n">
        <v>1</v>
      </c>
      <c r="I290" s="153" t="n">
        <f aca="false">SUM(E290*0.4)</f>
        <v>4.8</v>
      </c>
      <c r="J290" s="143" t="n">
        <f aca="false">G290+H290+I290</f>
        <v>8.425</v>
      </c>
      <c r="K290" s="147" t="n">
        <f aca="false">SUM(E290*F290)-(J290)</f>
        <v>33.575</v>
      </c>
    </row>
    <row r="291" customFormat="false" ht="14.25" hidden="false" customHeight="false" outlineLevel="0" collapsed="false">
      <c r="A291" s="134"/>
      <c r="B291" s="134"/>
      <c r="C291" s="134"/>
      <c r="D291" s="153"/>
      <c r="E291" s="123" t="n">
        <f aca="false">SUM(3.7*3)</f>
        <v>11.1</v>
      </c>
      <c r="F291" s="143" t="n">
        <v>3.5</v>
      </c>
      <c r="G291" s="123" t="n">
        <f aca="false">(0.25*F291)*3</f>
        <v>2.625</v>
      </c>
      <c r="H291" s="143" t="n">
        <v>0</v>
      </c>
      <c r="I291" s="153" t="n">
        <f aca="false">SUM(E291*0.4)</f>
        <v>4.44</v>
      </c>
      <c r="J291" s="143" t="n">
        <f aca="false">G291+H291+I291</f>
        <v>7.065</v>
      </c>
      <c r="K291" s="147" t="n">
        <f aca="false">SUM(E291*F291)-(J291)</f>
        <v>31.785</v>
      </c>
    </row>
    <row r="292" customFormat="false" ht="14.25" hidden="false" customHeight="false" outlineLevel="0" collapsed="false">
      <c r="A292" s="134"/>
      <c r="B292" s="134"/>
      <c r="C292" s="134"/>
      <c r="D292" s="23"/>
      <c r="E292" s="23"/>
      <c r="F292" s="23"/>
      <c r="G292" s="23"/>
      <c r="H292" s="23"/>
      <c r="I292" s="23"/>
      <c r="J292" s="23"/>
      <c r="K292" s="147" t="n">
        <f aca="false">SUM(K289:K291)*2</f>
        <v>196.37</v>
      </c>
    </row>
    <row r="293" customFormat="false" ht="14.25" hidden="false" customHeight="false" outlineLevel="0" collapsed="false">
      <c r="A293" s="107" t="s">
        <v>322</v>
      </c>
      <c r="B293" s="24" t="s">
        <v>57</v>
      </c>
      <c r="C293" s="54" t="s">
        <v>126</v>
      </c>
      <c r="D293" s="25" t="s">
        <v>127</v>
      </c>
      <c r="E293" s="23" t="s">
        <v>24</v>
      </c>
      <c r="F293" s="26" t="n">
        <f aca="false">SUM(E295+E297)</f>
        <v>19.6</v>
      </c>
      <c r="G293" s="109"/>
      <c r="H293" s="109"/>
      <c r="I293" s="109"/>
      <c r="J293" s="109"/>
      <c r="K293" s="109"/>
      <c r="L293" s="29"/>
      <c r="M293" s="29"/>
      <c r="N293" s="29"/>
      <c r="O293" s="29"/>
      <c r="P293" s="29"/>
    </row>
    <row r="294" customFormat="false" ht="14.25" hidden="false" customHeight="false" outlineLevel="0" collapsed="false">
      <c r="A294" s="134"/>
      <c r="B294" s="134"/>
      <c r="C294" s="134"/>
      <c r="D294" s="136" t="s">
        <v>910</v>
      </c>
      <c r="E294" s="135" t="s">
        <v>876</v>
      </c>
      <c r="F294" s="135"/>
      <c r="G294" s="135"/>
      <c r="H294" s="135"/>
      <c r="I294" s="135"/>
      <c r="J294" s="135"/>
      <c r="K294" s="135"/>
      <c r="L294" s="29"/>
      <c r="M294" s="29"/>
      <c r="N294" s="29"/>
      <c r="O294" s="29"/>
      <c r="P294" s="29"/>
    </row>
    <row r="295" customFormat="false" ht="14.25" hidden="false" customHeight="false" outlineLevel="0" collapsed="false">
      <c r="A295" s="134"/>
      <c r="B295" s="134"/>
      <c r="C295" s="134"/>
      <c r="D295" s="134"/>
      <c r="E295" s="135" t="n">
        <f aca="false">SUM(2.2*4)+(1*2)</f>
        <v>10.8</v>
      </c>
      <c r="F295" s="135"/>
      <c r="G295" s="135"/>
      <c r="H295" s="135"/>
      <c r="I295" s="135"/>
      <c r="J295" s="135"/>
      <c r="K295" s="135"/>
      <c r="L295" s="29"/>
      <c r="M295" s="29"/>
      <c r="N295" s="29"/>
      <c r="O295" s="29"/>
      <c r="P295" s="29"/>
    </row>
    <row r="296" customFormat="false" ht="14.25" hidden="false" customHeight="false" outlineLevel="0" collapsed="false">
      <c r="A296" s="134"/>
      <c r="B296" s="134"/>
      <c r="C296" s="134"/>
      <c r="D296" s="136" t="s">
        <v>911</v>
      </c>
      <c r="E296" s="135" t="s">
        <v>876</v>
      </c>
      <c r="F296" s="135"/>
      <c r="G296" s="135"/>
      <c r="H296" s="135"/>
      <c r="I296" s="135"/>
      <c r="J296" s="135"/>
      <c r="K296" s="135"/>
      <c r="L296" s="29"/>
      <c r="M296" s="29"/>
      <c r="N296" s="29"/>
      <c r="O296" s="29"/>
      <c r="P296" s="29"/>
    </row>
    <row r="297" customFormat="false" ht="14.25" hidden="false" customHeight="false" outlineLevel="0" collapsed="false">
      <c r="A297" s="134"/>
      <c r="B297" s="134"/>
      <c r="C297" s="134"/>
      <c r="D297" s="134"/>
      <c r="E297" s="135" t="n">
        <f aca="false">SUM(2.2*4)</f>
        <v>8.8</v>
      </c>
      <c r="F297" s="135"/>
      <c r="G297" s="135"/>
      <c r="H297" s="135"/>
      <c r="I297" s="135"/>
      <c r="J297" s="135"/>
      <c r="K297" s="135"/>
      <c r="L297" s="29"/>
      <c r="M297" s="29"/>
      <c r="N297" s="29"/>
      <c r="O297" s="29"/>
      <c r="P297" s="29"/>
    </row>
    <row r="298" customFormat="false" ht="21.6" hidden="false" customHeight="false" outlineLevel="0" collapsed="false">
      <c r="A298" s="107" t="s">
        <v>325</v>
      </c>
      <c r="B298" s="24" t="s">
        <v>57</v>
      </c>
      <c r="C298" s="23" t="n">
        <v>92451</v>
      </c>
      <c r="D298" s="25" t="s">
        <v>129</v>
      </c>
      <c r="E298" s="23" t="s">
        <v>19</v>
      </c>
      <c r="F298" s="26" t="n">
        <f aca="false">J301</f>
        <v>28.08</v>
      </c>
      <c r="G298" s="109"/>
      <c r="H298" s="109"/>
      <c r="I298" s="109"/>
      <c r="J298" s="109"/>
      <c r="K298" s="109"/>
      <c r="L298" s="29"/>
      <c r="M298" s="29"/>
      <c r="N298" s="29"/>
      <c r="O298" s="29"/>
      <c r="P298" s="29"/>
    </row>
    <row r="299" customFormat="false" ht="14.25" hidden="false" customHeight="false" outlineLevel="0" collapsed="false">
      <c r="A299" s="150" t="s">
        <v>834</v>
      </c>
      <c r="B299" s="150"/>
      <c r="C299" s="150"/>
      <c r="D299" s="135" t="s">
        <v>843</v>
      </c>
      <c r="E299" s="135"/>
      <c r="F299" s="135"/>
      <c r="G299" s="135"/>
      <c r="H299" s="135"/>
      <c r="I299" s="135"/>
      <c r="J299" s="135"/>
      <c r="K299" s="135"/>
    </row>
    <row r="300" customFormat="false" ht="14.9" hidden="false" customHeight="false" outlineLevel="0" collapsed="false">
      <c r="A300" s="150" t="s">
        <v>877</v>
      </c>
      <c r="B300" s="150"/>
      <c r="C300" s="150"/>
      <c r="D300" s="150"/>
      <c r="E300" s="125" t="s">
        <v>876</v>
      </c>
      <c r="F300" s="125"/>
      <c r="G300" s="125"/>
      <c r="H300" s="121" t="s">
        <v>878</v>
      </c>
      <c r="I300" s="122" t="s">
        <v>879</v>
      </c>
      <c r="J300" s="151" t="s">
        <v>880</v>
      </c>
      <c r="K300" s="175"/>
    </row>
    <row r="301" customFormat="false" ht="14.25" hidden="false" customHeight="false" outlineLevel="0" collapsed="false">
      <c r="A301" s="134"/>
      <c r="B301" s="134"/>
      <c r="C301" s="134"/>
      <c r="D301" s="134"/>
      <c r="E301" s="123" t="n">
        <f aca="false">SUM(E289:E291)</f>
        <v>35.1</v>
      </c>
      <c r="F301" s="123"/>
      <c r="G301" s="123"/>
      <c r="H301" s="123" t="n">
        <v>0.4</v>
      </c>
      <c r="I301" s="123" t="n">
        <v>0.25</v>
      </c>
      <c r="J301" s="153" t="n">
        <f aca="false">SUM(E301*H301)*2</f>
        <v>28.08</v>
      </c>
      <c r="K301" s="175"/>
    </row>
    <row r="302" customFormat="false" ht="14.25" hidden="false" customHeight="false" outlineLevel="0" collapsed="false">
      <c r="A302" s="107" t="s">
        <v>326</v>
      </c>
      <c r="B302" s="24" t="s">
        <v>57</v>
      </c>
      <c r="C302" s="23" t="n">
        <v>92800</v>
      </c>
      <c r="D302" s="25" t="s">
        <v>102</v>
      </c>
      <c r="E302" s="23" t="s">
        <v>103</v>
      </c>
      <c r="F302" s="23" t="n">
        <f aca="false">K308</f>
        <v>1264.8636</v>
      </c>
      <c r="G302" s="109"/>
      <c r="H302" s="109"/>
      <c r="I302" s="109"/>
      <c r="J302" s="109"/>
      <c r="K302" s="109"/>
      <c r="L302" s="29"/>
      <c r="M302" s="29"/>
      <c r="N302" s="29"/>
      <c r="O302" s="29"/>
      <c r="P302" s="29"/>
    </row>
    <row r="303" customFormat="false" ht="14.25" hidden="false" customHeight="false" outlineLevel="0" collapsed="false">
      <c r="A303" s="150" t="s">
        <v>834</v>
      </c>
      <c r="B303" s="150"/>
      <c r="C303" s="150"/>
      <c r="D303" s="135" t="s">
        <v>843</v>
      </c>
      <c r="E303" s="135"/>
      <c r="F303" s="135"/>
      <c r="G303" s="135"/>
      <c r="H303" s="135"/>
      <c r="I303" s="135"/>
      <c r="J303" s="135"/>
      <c r="K303" s="135"/>
    </row>
    <row r="304" customFormat="false" ht="14.25" hidden="false" customHeight="false" outlineLevel="0" collapsed="false">
      <c r="A304" s="120"/>
      <c r="B304" s="120"/>
      <c r="C304" s="120"/>
      <c r="D304" s="121" t="s">
        <v>881</v>
      </c>
      <c r="E304" s="135" t="n">
        <f aca="false">E301</f>
        <v>35.1</v>
      </c>
      <c r="F304" s="135"/>
      <c r="G304" s="135"/>
      <c r="H304" s="135"/>
      <c r="I304" s="135"/>
      <c r="J304" s="135"/>
      <c r="K304" s="135"/>
      <c r="XFD304" s="152"/>
    </row>
    <row r="305" customFormat="false" ht="14.25" hidden="false" customHeight="false" outlineLevel="0" collapsed="false">
      <c r="A305" s="120"/>
      <c r="B305" s="120"/>
      <c r="C305" s="120"/>
      <c r="D305" s="153" t="s">
        <v>882</v>
      </c>
      <c r="E305" s="153" t="n">
        <f aca="false">E304</f>
        <v>35.1</v>
      </c>
      <c r="F305" s="153"/>
      <c r="G305" s="153"/>
      <c r="H305" s="153"/>
      <c r="I305" s="153"/>
      <c r="J305" s="153"/>
      <c r="K305" s="155"/>
      <c r="L305" s="29"/>
      <c r="M305" s="29"/>
      <c r="N305" s="2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</row>
    <row r="306" customFormat="false" ht="14.25" hidden="false" customHeight="true" outlineLevel="0" collapsed="false">
      <c r="A306" s="120"/>
      <c r="B306" s="120"/>
      <c r="C306" s="120"/>
      <c r="D306" s="136" t="n">
        <f aca="false">E301</f>
        <v>35.1</v>
      </c>
      <c r="E306" s="153" t="s">
        <v>863</v>
      </c>
      <c r="F306" s="153"/>
      <c r="G306" s="153"/>
      <c r="H306" s="153"/>
      <c r="I306" s="153"/>
      <c r="J306" s="153"/>
      <c r="K306" s="137" t="n">
        <f aca="false">SUM(E305/0.15)</f>
        <v>234</v>
      </c>
      <c r="L306" s="29"/>
      <c r="M306" s="29"/>
      <c r="N306" s="2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</row>
    <row r="307" s="46" customFormat="true" ht="14.25" hidden="false" customHeight="true" outlineLevel="0" collapsed="false">
      <c r="A307" s="120"/>
      <c r="B307" s="120"/>
      <c r="C307" s="120"/>
      <c r="D307" s="156"/>
      <c r="E307" s="153" t="s">
        <v>864</v>
      </c>
      <c r="F307" s="153"/>
      <c r="G307" s="153"/>
      <c r="H307" s="153"/>
      <c r="I307" s="153"/>
      <c r="J307" s="153"/>
      <c r="K307" s="137" t="n">
        <f aca="false">SUM(K306*D306)</f>
        <v>8213.4</v>
      </c>
      <c r="L307" s="29"/>
      <c r="M307" s="29"/>
      <c r="N307" s="2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XFD307" s="14"/>
    </row>
    <row r="308" customFormat="false" ht="14.25" hidden="false" customHeight="true" outlineLevel="0" collapsed="false">
      <c r="A308" s="120"/>
      <c r="B308" s="120"/>
      <c r="C308" s="120"/>
      <c r="D308" s="156"/>
      <c r="E308" s="153" t="s">
        <v>865</v>
      </c>
      <c r="F308" s="153"/>
      <c r="G308" s="153"/>
      <c r="H308" s="153"/>
      <c r="I308" s="153"/>
      <c r="J308" s="153"/>
      <c r="K308" s="135" t="n">
        <f aca="false">SUM(K307*0.154)</f>
        <v>1264.8636</v>
      </c>
      <c r="L308" s="29"/>
      <c r="M308" s="29"/>
      <c r="N308" s="2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</row>
    <row r="309" customFormat="false" ht="14.25" hidden="false" customHeight="false" outlineLevel="0" collapsed="false">
      <c r="A309" s="107" t="s">
        <v>327</v>
      </c>
      <c r="B309" s="24" t="s">
        <v>57</v>
      </c>
      <c r="C309" s="23" t="n">
        <v>92803</v>
      </c>
      <c r="D309" s="25" t="s">
        <v>105</v>
      </c>
      <c r="E309" s="23" t="s">
        <v>103</v>
      </c>
      <c r="F309" s="26" t="n">
        <f aca="false">K312</f>
        <v>86.6268</v>
      </c>
      <c r="G309" s="109"/>
      <c r="H309" s="109"/>
      <c r="I309" s="109"/>
      <c r="J309" s="109"/>
      <c r="K309" s="109"/>
      <c r="L309" s="29"/>
      <c r="M309" s="29"/>
      <c r="N309" s="29"/>
      <c r="O309" s="29"/>
      <c r="P309" s="2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customFormat="false" ht="14.25" hidden="false" customHeight="false" outlineLevel="0" collapsed="false">
      <c r="A310" s="134"/>
      <c r="B310" s="134"/>
      <c r="C310" s="134"/>
      <c r="D310" s="131" t="s">
        <v>883</v>
      </c>
      <c r="E310" s="131" t="n">
        <f aca="false">E301</f>
        <v>35.1</v>
      </c>
      <c r="F310" s="131"/>
      <c r="G310" s="131"/>
      <c r="H310" s="131"/>
      <c r="I310" s="131"/>
      <c r="J310" s="131"/>
      <c r="K310" s="130"/>
      <c r="L310" s="29"/>
      <c r="M310" s="29"/>
      <c r="N310" s="2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</row>
    <row r="311" customFormat="false" ht="14.25" hidden="false" customHeight="true" outlineLevel="0" collapsed="false">
      <c r="A311" s="134"/>
      <c r="B311" s="134"/>
      <c r="C311" s="134"/>
      <c r="D311" s="141"/>
      <c r="E311" s="131" t="s">
        <v>866</v>
      </c>
      <c r="F311" s="131"/>
      <c r="G311" s="131"/>
      <c r="H311" s="131"/>
      <c r="I311" s="131"/>
      <c r="J311" s="131"/>
      <c r="K311" s="132" t="n">
        <f aca="false">SUM(E310*4)</f>
        <v>140.4</v>
      </c>
      <c r="L311" s="29"/>
      <c r="M311" s="29"/>
      <c r="N311" s="2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</row>
    <row r="312" customFormat="false" ht="14.25" hidden="false" customHeight="true" outlineLevel="0" collapsed="false">
      <c r="A312" s="120"/>
      <c r="B312" s="120"/>
      <c r="C312" s="120"/>
      <c r="D312" s="120"/>
      <c r="E312" s="131" t="s">
        <v>867</v>
      </c>
      <c r="F312" s="131"/>
      <c r="G312" s="131"/>
      <c r="H312" s="131"/>
      <c r="I312" s="131"/>
      <c r="J312" s="131"/>
      <c r="K312" s="132" t="n">
        <f aca="false">SUM(K311*0.617)</f>
        <v>86.6268</v>
      </c>
      <c r="L312" s="29"/>
      <c r="M312" s="29"/>
      <c r="N312" s="2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</row>
    <row r="313" customFormat="false" ht="14.25" hidden="false" customHeight="false" outlineLevel="0" collapsed="false">
      <c r="A313" s="107" t="s">
        <v>328</v>
      </c>
      <c r="B313" s="24" t="s">
        <v>57</v>
      </c>
      <c r="C313" s="23" t="n">
        <v>92804</v>
      </c>
      <c r="D313" s="25" t="s">
        <v>133</v>
      </c>
      <c r="E313" s="23" t="s">
        <v>103</v>
      </c>
      <c r="F313" s="26" t="n">
        <f aca="false">K316</f>
        <v>67.6026</v>
      </c>
      <c r="G313" s="109"/>
      <c r="H313" s="109"/>
      <c r="I313" s="109"/>
      <c r="J313" s="109"/>
      <c r="K313" s="109"/>
      <c r="L313" s="29"/>
      <c r="M313" s="29"/>
      <c r="N313" s="29"/>
      <c r="O313" s="29"/>
      <c r="P313" s="2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customFormat="false" ht="14.25" hidden="false" customHeight="false" outlineLevel="0" collapsed="false">
      <c r="A314" s="134"/>
      <c r="B314" s="134"/>
      <c r="C314" s="134"/>
      <c r="D314" s="131" t="s">
        <v>883</v>
      </c>
      <c r="E314" s="131" t="n">
        <f aca="false">E310</f>
        <v>35.1</v>
      </c>
      <c r="F314" s="131"/>
      <c r="G314" s="131"/>
      <c r="H314" s="131"/>
      <c r="I314" s="131"/>
      <c r="J314" s="131"/>
      <c r="K314" s="130"/>
      <c r="L314" s="29"/>
      <c r="M314" s="29"/>
      <c r="N314" s="2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</row>
    <row r="315" customFormat="false" ht="14.25" hidden="false" customHeight="true" outlineLevel="0" collapsed="false">
      <c r="A315" s="134"/>
      <c r="B315" s="134"/>
      <c r="C315" s="134"/>
      <c r="D315" s="141"/>
      <c r="E315" s="131" t="s">
        <v>884</v>
      </c>
      <c r="F315" s="131"/>
      <c r="G315" s="131"/>
      <c r="H315" s="131"/>
      <c r="I315" s="131"/>
      <c r="J315" s="131"/>
      <c r="K315" s="132" t="n">
        <f aca="false">SUM(E314*2)</f>
        <v>70.2</v>
      </c>
      <c r="L315" s="29"/>
      <c r="M315" s="29"/>
      <c r="N315" s="2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</row>
    <row r="316" customFormat="false" ht="14.25" hidden="false" customHeight="true" outlineLevel="0" collapsed="false">
      <c r="A316" s="120"/>
      <c r="B316" s="120"/>
      <c r="C316" s="120"/>
      <c r="D316" s="120"/>
      <c r="E316" s="131" t="s">
        <v>867</v>
      </c>
      <c r="F316" s="131"/>
      <c r="G316" s="131"/>
      <c r="H316" s="131"/>
      <c r="I316" s="131"/>
      <c r="J316" s="131"/>
      <c r="K316" s="132" t="n">
        <f aca="false">SUM(K315*0.963)</f>
        <v>67.6026</v>
      </c>
      <c r="L316" s="29"/>
      <c r="M316" s="29"/>
      <c r="N316" s="2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</row>
    <row r="317" customFormat="false" ht="14.9" hidden="false" customHeight="false" outlineLevel="0" collapsed="false">
      <c r="A317" s="107" t="s">
        <v>329</v>
      </c>
      <c r="B317" s="24" t="s">
        <v>57</v>
      </c>
      <c r="C317" s="23" t="n">
        <v>103675</v>
      </c>
      <c r="D317" s="25" t="s">
        <v>135</v>
      </c>
      <c r="E317" s="23" t="s">
        <v>49</v>
      </c>
      <c r="F317" s="26" t="n">
        <f aca="false">SUM(E319:E319)</f>
        <v>3.51</v>
      </c>
      <c r="G317" s="109"/>
      <c r="H317" s="109"/>
      <c r="I317" s="109"/>
      <c r="J317" s="109"/>
      <c r="K317" s="109"/>
      <c r="L317" s="29"/>
      <c r="M317" s="29"/>
      <c r="N317" s="29"/>
      <c r="O317" s="29"/>
      <c r="P317" s="29"/>
    </row>
    <row r="318" customFormat="false" ht="14.25" hidden="false" customHeight="false" outlineLevel="0" collapsed="false">
      <c r="A318" s="150" t="s">
        <v>834</v>
      </c>
      <c r="B318" s="150"/>
      <c r="C318" s="150"/>
      <c r="D318" s="135" t="s">
        <v>885</v>
      </c>
      <c r="E318" s="135"/>
      <c r="F318" s="135"/>
      <c r="G318" s="135"/>
      <c r="H318" s="135"/>
      <c r="I318" s="135"/>
      <c r="J318" s="135"/>
      <c r="K318" s="135"/>
    </row>
    <row r="319" customFormat="false" ht="14.25" hidden="false" customHeight="false" outlineLevel="0" collapsed="false">
      <c r="A319" s="158"/>
      <c r="B319" s="156"/>
      <c r="C319" s="156"/>
      <c r="D319" s="123" t="s">
        <v>886</v>
      </c>
      <c r="E319" s="123" t="n">
        <f aca="false">SUM(E301*0.25*0.4)</f>
        <v>3.51</v>
      </c>
      <c r="F319" s="153"/>
      <c r="G319" s="153"/>
      <c r="H319" s="153"/>
      <c r="I319" s="153"/>
      <c r="J319" s="153"/>
      <c r="K319" s="137"/>
    </row>
    <row r="320" customFormat="false" ht="14.9" hidden="false" customHeight="false" outlineLevel="0" collapsed="false">
      <c r="A320" s="159" t="s">
        <v>330</v>
      </c>
      <c r="B320" s="55" t="s">
        <v>26</v>
      </c>
      <c r="C320" s="48" t="s">
        <v>137</v>
      </c>
      <c r="D320" s="49" t="s">
        <v>138</v>
      </c>
      <c r="E320" s="48" t="s">
        <v>19</v>
      </c>
      <c r="F320" s="50" t="n">
        <f aca="false">21.75*2</f>
        <v>43.5</v>
      </c>
      <c r="G320" s="160"/>
      <c r="H320" s="160"/>
      <c r="I320" s="160"/>
      <c r="J320" s="160"/>
      <c r="K320" s="160"/>
      <c r="L320" s="52"/>
      <c r="M320" s="52"/>
      <c r="N320" s="52"/>
      <c r="O320" s="52"/>
      <c r="P320" s="52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</row>
    <row r="321" customFormat="false" ht="14.25" hidden="false" customHeight="false" outlineLevel="0" collapsed="false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52"/>
      <c r="M321" s="52"/>
      <c r="N321" s="52"/>
      <c r="O321" s="52"/>
      <c r="P321" s="52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</row>
    <row r="322" customFormat="false" ht="14.25" hidden="false" customHeight="false" outlineLevel="0" collapsed="false">
      <c r="A322" s="164" t="s">
        <v>139</v>
      </c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29"/>
      <c r="M322" s="29"/>
      <c r="N322" s="29"/>
      <c r="O322" s="29"/>
      <c r="P322" s="29"/>
    </row>
    <row r="323" customFormat="false" ht="14.9" hidden="false" customHeight="false" outlineLevel="0" collapsed="false">
      <c r="A323" s="107" t="s">
        <v>331</v>
      </c>
      <c r="B323" s="24" t="s">
        <v>57</v>
      </c>
      <c r="C323" s="23" t="n">
        <v>92602</v>
      </c>
      <c r="D323" s="25" t="s">
        <v>141</v>
      </c>
      <c r="E323" s="23" t="s">
        <v>39</v>
      </c>
      <c r="F323" s="26" t="n">
        <f aca="false">ORÇAMENTO!F184</f>
        <v>4</v>
      </c>
      <c r="G323" s="138"/>
      <c r="H323" s="138"/>
      <c r="I323" s="138"/>
      <c r="J323" s="138"/>
      <c r="K323" s="138"/>
      <c r="L323" s="29"/>
      <c r="M323" s="29"/>
      <c r="N323" s="29"/>
      <c r="O323" s="29"/>
      <c r="P323" s="29"/>
    </row>
    <row r="324" customFormat="false" ht="14.9" hidden="false" customHeight="false" outlineLevel="0" collapsed="false">
      <c r="A324" s="107" t="s">
        <v>333</v>
      </c>
      <c r="B324" s="24" t="s">
        <v>57</v>
      </c>
      <c r="C324" s="23" t="n">
        <v>92580</v>
      </c>
      <c r="D324" s="25" t="s">
        <v>143</v>
      </c>
      <c r="E324" s="23" t="s">
        <v>19</v>
      </c>
      <c r="F324" s="26" t="n">
        <f aca="false">ORÇAMENTO!F185</f>
        <v>74</v>
      </c>
      <c r="G324" s="138"/>
      <c r="H324" s="138"/>
      <c r="I324" s="138"/>
      <c r="J324" s="138"/>
      <c r="K324" s="138"/>
      <c r="L324" s="29"/>
      <c r="M324" s="29"/>
      <c r="N324" s="29"/>
      <c r="O324" s="29"/>
      <c r="P324" s="29"/>
    </row>
    <row r="325" customFormat="false" ht="14.9" hidden="false" customHeight="false" outlineLevel="0" collapsed="false">
      <c r="A325" s="107" t="s">
        <v>335</v>
      </c>
      <c r="B325" s="31" t="s">
        <v>26</v>
      </c>
      <c r="C325" s="23" t="s">
        <v>145</v>
      </c>
      <c r="D325" s="25" t="s">
        <v>146</v>
      </c>
      <c r="E325" s="23" t="s">
        <v>19</v>
      </c>
      <c r="F325" s="26" t="n">
        <f aca="false">ORÇAMENTO!F186</f>
        <v>74</v>
      </c>
      <c r="G325" s="138"/>
      <c r="H325" s="138"/>
      <c r="I325" s="138"/>
      <c r="J325" s="138"/>
      <c r="K325" s="138"/>
      <c r="L325" s="56"/>
      <c r="M325" s="56"/>
      <c r="N325" s="56"/>
      <c r="O325" s="56"/>
      <c r="P325" s="56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</row>
    <row r="326" customFormat="false" ht="14.25" hidden="false" customHeight="false" outlineLevel="0" collapsed="false">
      <c r="A326" s="107" t="s">
        <v>338</v>
      </c>
      <c r="B326" s="45" t="s">
        <v>21</v>
      </c>
      <c r="C326" s="23" t="s">
        <v>148</v>
      </c>
      <c r="D326" s="25" t="s">
        <v>149</v>
      </c>
      <c r="E326" s="23" t="s">
        <v>24</v>
      </c>
      <c r="F326" s="26" t="n">
        <f aca="false">ORÇAMENTO!F188</f>
        <v>38.2</v>
      </c>
      <c r="G326" s="138"/>
      <c r="H326" s="138"/>
      <c r="I326" s="138"/>
      <c r="J326" s="138"/>
      <c r="K326" s="138"/>
      <c r="L326" s="29"/>
      <c r="M326" s="29"/>
      <c r="N326" s="29"/>
      <c r="O326" s="29"/>
      <c r="P326" s="29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</row>
    <row r="327" customFormat="false" ht="14.25" hidden="false" customHeight="false" outlineLevel="0" collapsed="false">
      <c r="A327" s="107" t="s">
        <v>341</v>
      </c>
      <c r="B327" s="45" t="s">
        <v>21</v>
      </c>
      <c r="C327" s="23" t="s">
        <v>151</v>
      </c>
      <c r="D327" s="25" t="s">
        <v>152</v>
      </c>
      <c r="E327" s="23" t="s">
        <v>24</v>
      </c>
      <c r="F327" s="26" t="n">
        <f aca="false">ORÇAMENTO!F189</f>
        <v>21</v>
      </c>
      <c r="G327" s="138"/>
      <c r="H327" s="138"/>
      <c r="I327" s="138"/>
      <c r="J327" s="138"/>
      <c r="K327" s="138"/>
      <c r="L327" s="29"/>
      <c r="M327" s="29"/>
      <c r="N327" s="29"/>
      <c r="O327" s="29"/>
      <c r="P327" s="29"/>
    </row>
    <row r="328" customFormat="false" ht="14.9" hidden="false" customHeight="false" outlineLevel="0" collapsed="false">
      <c r="A328" s="107" t="s">
        <v>342</v>
      </c>
      <c r="B328" s="24" t="s">
        <v>57</v>
      </c>
      <c r="C328" s="23" t="n">
        <v>94231</v>
      </c>
      <c r="D328" s="25" t="s">
        <v>154</v>
      </c>
      <c r="E328" s="23" t="s">
        <v>24</v>
      </c>
      <c r="F328" s="26" t="n">
        <f aca="false">ORÇAMENTO!F190</f>
        <v>16.2</v>
      </c>
      <c r="G328" s="138"/>
      <c r="H328" s="138"/>
      <c r="I328" s="138"/>
      <c r="J328" s="138"/>
      <c r="K328" s="138"/>
      <c r="L328" s="29"/>
      <c r="M328" s="29"/>
      <c r="N328" s="29"/>
      <c r="O328" s="29"/>
      <c r="P328" s="29"/>
    </row>
    <row r="329" customFormat="false" ht="14.25" hidden="false" customHeight="false" outlineLevel="0" collapsed="false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29"/>
      <c r="M329" s="29"/>
      <c r="N329" s="29"/>
      <c r="O329" s="29"/>
      <c r="P329" s="29"/>
    </row>
    <row r="330" customFormat="false" ht="14.25" hidden="false" customHeight="false" outlineLevel="0" collapsed="false">
      <c r="A330" s="164" t="s">
        <v>155</v>
      </c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29"/>
      <c r="M330" s="29"/>
      <c r="N330" s="29"/>
      <c r="O330" s="29"/>
      <c r="P330" s="29"/>
    </row>
    <row r="331" customFormat="false" ht="14.9" hidden="false" customHeight="false" outlineLevel="0" collapsed="false">
      <c r="A331" s="107" t="s">
        <v>343</v>
      </c>
      <c r="B331" s="24" t="s">
        <v>57</v>
      </c>
      <c r="C331" s="23" t="n">
        <v>87879</v>
      </c>
      <c r="D331" s="25" t="s">
        <v>157</v>
      </c>
      <c r="E331" s="23" t="s">
        <v>19</v>
      </c>
      <c r="F331" s="26" t="n">
        <f aca="false">H336+H340+G341</f>
        <v>256.26</v>
      </c>
      <c r="G331" s="109"/>
      <c r="H331" s="109"/>
      <c r="I331" s="109"/>
      <c r="J331" s="109"/>
      <c r="K331" s="109"/>
      <c r="L331" s="29"/>
      <c r="M331" s="29"/>
      <c r="N331" s="29"/>
      <c r="O331" s="29"/>
      <c r="P331" s="2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customFormat="false" ht="14.9" hidden="false" customHeight="false" outlineLevel="0" collapsed="false">
      <c r="A332" s="107"/>
      <c r="B332" s="107"/>
      <c r="C332" s="107"/>
      <c r="D332" s="107"/>
      <c r="E332" s="123" t="s">
        <v>912</v>
      </c>
      <c r="F332" s="143" t="s">
        <v>900</v>
      </c>
      <c r="G332" s="144" t="s">
        <v>913</v>
      </c>
      <c r="H332" s="144" t="s">
        <v>851</v>
      </c>
      <c r="I332" s="177"/>
      <c r="J332" s="177"/>
      <c r="K332" s="177"/>
      <c r="L332" s="29"/>
      <c r="M332" s="29"/>
      <c r="N332" s="29"/>
      <c r="O332" s="29"/>
      <c r="P332" s="2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customFormat="false" ht="14.25" hidden="false" customHeight="false" outlineLevel="0" collapsed="false">
      <c r="A333" s="107"/>
      <c r="B333" s="107"/>
      <c r="C333" s="107"/>
      <c r="D333" s="107"/>
      <c r="E333" s="123" t="n">
        <v>12.5</v>
      </c>
      <c r="F333" s="143" t="n">
        <v>3.5</v>
      </c>
      <c r="G333" s="144"/>
      <c r="H333" s="153" t="n">
        <f aca="false">SUM(E333*F333)</f>
        <v>43.75</v>
      </c>
      <c r="I333" s="177"/>
      <c r="J333" s="177"/>
      <c r="K333" s="177"/>
      <c r="L333" s="29"/>
      <c r="M333" s="29"/>
      <c r="N333" s="29"/>
      <c r="O333" s="29"/>
      <c r="P333" s="2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customFormat="false" ht="14.25" hidden="false" customHeight="false" outlineLevel="0" collapsed="false">
      <c r="A334" s="107"/>
      <c r="B334" s="107"/>
      <c r="C334" s="107"/>
      <c r="D334" s="107"/>
      <c r="E334" s="123" t="n">
        <v>12.5</v>
      </c>
      <c r="F334" s="143" t="n">
        <v>3.5</v>
      </c>
      <c r="G334" s="153" t="n">
        <f aca="false">4*(2*1)+2*(0.9*2.1)</f>
        <v>11.78</v>
      </c>
      <c r="H334" s="153" t="n">
        <f aca="false">SUM(E334*F334)-G334</f>
        <v>31.97</v>
      </c>
      <c r="I334" s="177"/>
      <c r="J334" s="177"/>
      <c r="K334" s="177"/>
      <c r="L334" s="29"/>
      <c r="M334" s="29"/>
      <c r="N334" s="29"/>
      <c r="O334" s="29"/>
      <c r="P334" s="2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customFormat="false" ht="14.25" hidden="false" customHeight="false" outlineLevel="0" collapsed="false">
      <c r="A335" s="107"/>
      <c r="B335" s="107"/>
      <c r="C335" s="107"/>
      <c r="D335" s="107"/>
      <c r="E335" s="123" t="n">
        <v>4.2</v>
      </c>
      <c r="F335" s="143" t="n">
        <v>3.5</v>
      </c>
      <c r="G335" s="144"/>
      <c r="H335" s="153" t="n">
        <f aca="false">SUM(E335*F335)-G335</f>
        <v>14.7</v>
      </c>
      <c r="I335" s="177"/>
      <c r="J335" s="177"/>
      <c r="K335" s="177"/>
      <c r="L335" s="29"/>
      <c r="M335" s="29"/>
      <c r="N335" s="29"/>
      <c r="O335" s="29"/>
      <c r="P335" s="2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customFormat="false" ht="14.25" hidden="false" customHeight="false" outlineLevel="0" collapsed="false">
      <c r="A336" s="107"/>
      <c r="B336" s="107"/>
      <c r="C336" s="107"/>
      <c r="D336" s="107"/>
      <c r="E336" s="123" t="s">
        <v>914</v>
      </c>
      <c r="F336" s="123"/>
      <c r="G336" s="123"/>
      <c r="H336" s="153" t="n">
        <f aca="false">SUM(H333:H335)</f>
        <v>90.42</v>
      </c>
      <c r="I336" s="177"/>
      <c r="J336" s="177"/>
      <c r="K336" s="177"/>
      <c r="L336" s="29"/>
      <c r="M336" s="29"/>
      <c r="N336" s="29"/>
      <c r="O336" s="29"/>
      <c r="P336" s="2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customFormat="false" ht="14.25" hidden="false" customHeight="false" outlineLevel="0" collapsed="false">
      <c r="A337" s="107"/>
      <c r="B337" s="107"/>
      <c r="C337" s="107"/>
      <c r="D337" s="107"/>
      <c r="E337" s="123" t="n">
        <f aca="false">5.88*2</f>
        <v>11.76</v>
      </c>
      <c r="F337" s="143" t="n">
        <v>3.5</v>
      </c>
      <c r="G337" s="144"/>
      <c r="H337" s="153" t="n">
        <f aca="false">SUM(E337*F337)</f>
        <v>41.16</v>
      </c>
      <c r="I337" s="177"/>
      <c r="J337" s="177"/>
      <c r="K337" s="177"/>
      <c r="L337" s="29"/>
      <c r="M337" s="29"/>
      <c r="N337" s="29"/>
      <c r="O337" s="29"/>
      <c r="P337" s="2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customFormat="false" ht="14.25" hidden="false" customHeight="false" outlineLevel="0" collapsed="false">
      <c r="A338" s="107"/>
      <c r="B338" s="107"/>
      <c r="C338" s="107"/>
      <c r="D338" s="107"/>
      <c r="E338" s="123" t="n">
        <f aca="false">5.88*2</f>
        <v>11.76</v>
      </c>
      <c r="F338" s="143" t="n">
        <v>3.5</v>
      </c>
      <c r="G338" s="153" t="n">
        <f aca="false">4*(2*1)+(0.9*2.1)*2</f>
        <v>11.78</v>
      </c>
      <c r="H338" s="153" t="n">
        <f aca="false">SUM(E338*F338)-G338</f>
        <v>29.38</v>
      </c>
      <c r="I338" s="177"/>
      <c r="J338" s="177"/>
      <c r="K338" s="177"/>
      <c r="L338" s="29"/>
      <c r="M338" s="29"/>
      <c r="N338" s="29"/>
      <c r="O338" s="29"/>
      <c r="P338" s="2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customFormat="false" ht="14.25" hidden="false" customHeight="false" outlineLevel="0" collapsed="false">
      <c r="A339" s="107"/>
      <c r="B339" s="107"/>
      <c r="C339" s="107"/>
      <c r="D339" s="107"/>
      <c r="E339" s="123" t="n">
        <f aca="false">3.7*4</f>
        <v>14.8</v>
      </c>
      <c r="F339" s="143" t="n">
        <v>3.5</v>
      </c>
      <c r="G339" s="144"/>
      <c r="H339" s="153" t="n">
        <f aca="false">SUM(E339*F339)-G339</f>
        <v>51.8</v>
      </c>
      <c r="I339" s="177"/>
      <c r="J339" s="177"/>
      <c r="K339" s="177"/>
      <c r="L339" s="29"/>
      <c r="M339" s="29"/>
      <c r="N339" s="29"/>
      <c r="O339" s="29"/>
      <c r="P339" s="2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customFormat="false" ht="14.25" hidden="false" customHeight="false" outlineLevel="0" collapsed="false">
      <c r="A340" s="107"/>
      <c r="B340" s="107"/>
      <c r="C340" s="107"/>
      <c r="D340" s="107"/>
      <c r="E340" s="123" t="s">
        <v>915</v>
      </c>
      <c r="F340" s="123"/>
      <c r="G340" s="123"/>
      <c r="H340" s="153" t="n">
        <f aca="false">SUM(H337:H339)</f>
        <v>122.34</v>
      </c>
      <c r="I340" s="177"/>
      <c r="J340" s="177"/>
      <c r="K340" s="177"/>
      <c r="L340" s="29"/>
      <c r="M340" s="29"/>
      <c r="N340" s="29"/>
      <c r="O340" s="29"/>
      <c r="P340" s="2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customFormat="false" ht="14.25" hidden="false" customHeight="false" outlineLevel="0" collapsed="false">
      <c r="A341" s="107"/>
      <c r="B341" s="107"/>
      <c r="C341" s="107"/>
      <c r="D341" s="107"/>
      <c r="E341" s="123" t="s">
        <v>889</v>
      </c>
      <c r="F341" s="123"/>
      <c r="G341" s="123" t="n">
        <f aca="false">SUM(21.75*2)</f>
        <v>43.5</v>
      </c>
      <c r="H341" s="123"/>
      <c r="I341" s="177"/>
      <c r="J341" s="177"/>
      <c r="K341" s="177"/>
      <c r="L341" s="29"/>
      <c r="M341" s="29"/>
      <c r="N341" s="29"/>
      <c r="O341" s="29"/>
      <c r="P341" s="2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customFormat="false" ht="14.25" hidden="false" customHeight="false" outlineLevel="0" collapsed="false">
      <c r="A342" s="107" t="s">
        <v>344</v>
      </c>
      <c r="B342" s="31" t="s">
        <v>26</v>
      </c>
      <c r="C342" s="23" t="s">
        <v>159</v>
      </c>
      <c r="D342" s="25" t="s">
        <v>160</v>
      </c>
      <c r="E342" s="23" t="s">
        <v>19</v>
      </c>
      <c r="F342" s="26" t="n">
        <f aca="false">F331</f>
        <v>256.26</v>
      </c>
      <c r="G342" s="138"/>
      <c r="H342" s="138"/>
      <c r="I342" s="138"/>
      <c r="J342" s="138"/>
      <c r="K342" s="138"/>
      <c r="L342" s="29"/>
      <c r="M342" s="29"/>
      <c r="N342" s="29"/>
      <c r="O342" s="29"/>
      <c r="P342" s="2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customFormat="false" ht="14.25" hidden="false" customHeight="false" outlineLevel="0" collapsed="false">
      <c r="A343" s="107" t="s">
        <v>345</v>
      </c>
      <c r="B343" s="31" t="s">
        <v>26</v>
      </c>
      <c r="C343" s="23" t="s">
        <v>162</v>
      </c>
      <c r="D343" s="25" t="s">
        <v>163</v>
      </c>
      <c r="E343" s="23" t="s">
        <v>19</v>
      </c>
      <c r="F343" s="26" t="n">
        <f aca="false">SUM(H333:H335)+G341</f>
        <v>133.92</v>
      </c>
      <c r="G343" s="138"/>
      <c r="H343" s="138"/>
      <c r="I343" s="138"/>
      <c r="J343" s="138"/>
      <c r="K343" s="138"/>
      <c r="L343" s="29"/>
      <c r="M343" s="29"/>
      <c r="N343" s="29"/>
      <c r="O343" s="29"/>
      <c r="P343" s="2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customFormat="false" ht="14.9" hidden="false" customHeight="false" outlineLevel="0" collapsed="false">
      <c r="A344" s="107" t="s">
        <v>346</v>
      </c>
      <c r="B344" s="31" t="s">
        <v>26</v>
      </c>
      <c r="C344" s="23" t="s">
        <v>165</v>
      </c>
      <c r="D344" s="25" t="s">
        <v>166</v>
      </c>
      <c r="E344" s="23" t="s">
        <v>19</v>
      </c>
      <c r="F344" s="26" t="n">
        <f aca="false">SUM(F331-F343)</f>
        <v>122.34</v>
      </c>
      <c r="G344" s="138"/>
      <c r="H344" s="138"/>
      <c r="I344" s="138"/>
      <c r="J344" s="138"/>
      <c r="K344" s="138"/>
      <c r="L344" s="29"/>
      <c r="M344" s="29"/>
      <c r="N344" s="29"/>
      <c r="O344" s="29"/>
      <c r="P344" s="2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customFormat="false" ht="14.9" hidden="false" customHeight="false" outlineLevel="0" collapsed="false">
      <c r="A345" s="107" t="s">
        <v>347</v>
      </c>
      <c r="B345" s="24" t="s">
        <v>57</v>
      </c>
      <c r="C345" s="23" t="n">
        <v>88411</v>
      </c>
      <c r="D345" s="25" t="s">
        <v>168</v>
      </c>
      <c r="E345" s="23" t="s">
        <v>19</v>
      </c>
      <c r="F345" s="36" t="n">
        <f aca="false">F347</f>
        <v>177.42</v>
      </c>
      <c r="G345" s="138"/>
      <c r="H345" s="138"/>
      <c r="I345" s="138"/>
      <c r="J345" s="138"/>
      <c r="K345" s="138"/>
    </row>
    <row r="346" customFormat="false" ht="14.25" hidden="false" customHeight="false" outlineLevel="0" collapsed="false">
      <c r="A346" s="107" t="s">
        <v>348</v>
      </c>
      <c r="B346" s="24" t="s">
        <v>57</v>
      </c>
      <c r="C346" s="23" t="n">
        <v>88484</v>
      </c>
      <c r="D346" s="25" t="s">
        <v>170</v>
      </c>
      <c r="E346" s="23" t="s">
        <v>19</v>
      </c>
      <c r="F346" s="36" t="n">
        <f aca="false">G341</f>
        <v>43.5</v>
      </c>
      <c r="G346" s="138"/>
      <c r="H346" s="138"/>
      <c r="I346" s="138"/>
      <c r="J346" s="138"/>
      <c r="K346" s="138"/>
    </row>
    <row r="347" customFormat="false" ht="14.25" hidden="false" customHeight="false" outlineLevel="0" collapsed="false">
      <c r="A347" s="107" t="s">
        <v>349</v>
      </c>
      <c r="B347" s="24" t="s">
        <v>57</v>
      </c>
      <c r="C347" s="23" t="n">
        <v>88489</v>
      </c>
      <c r="D347" s="25" t="s">
        <v>172</v>
      </c>
      <c r="E347" s="23" t="s">
        <v>19</v>
      </c>
      <c r="F347" s="26" t="n">
        <f aca="false">F343+F346</f>
        <v>177.42</v>
      </c>
      <c r="G347" s="138"/>
      <c r="H347" s="138"/>
      <c r="I347" s="138"/>
      <c r="J347" s="138"/>
      <c r="K347" s="138"/>
      <c r="L347" s="29"/>
      <c r="M347" s="29"/>
      <c r="N347" s="29"/>
      <c r="O347" s="29"/>
      <c r="P347" s="2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customFormat="false" ht="14.25" hidden="false" customHeight="false" outlineLevel="0" collapsed="false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29"/>
      <c r="M348" s="29"/>
      <c r="N348" s="29"/>
      <c r="O348" s="29"/>
      <c r="P348" s="2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customFormat="false" ht="14.25" hidden="false" customHeight="false" outlineLevel="0" collapsed="false">
      <c r="A349" s="164" t="s">
        <v>173</v>
      </c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29"/>
      <c r="M349" s="29"/>
      <c r="N349" s="29"/>
      <c r="O349" s="29"/>
      <c r="P349" s="29"/>
    </row>
    <row r="350" customFormat="false" ht="14.9" hidden="false" customHeight="false" outlineLevel="0" collapsed="false">
      <c r="A350" s="107" t="s">
        <v>350</v>
      </c>
      <c r="B350" s="24" t="s">
        <v>64</v>
      </c>
      <c r="C350" s="23" t="n">
        <v>96624</v>
      </c>
      <c r="D350" s="25" t="s">
        <v>175</v>
      </c>
      <c r="E350" s="23" t="s">
        <v>49</v>
      </c>
      <c r="F350" s="26" t="n">
        <f aca="false">SUM(21.75*2)*0.1</f>
        <v>4.35</v>
      </c>
      <c r="G350" s="138"/>
      <c r="H350" s="138"/>
      <c r="I350" s="138"/>
      <c r="J350" s="138"/>
      <c r="K350" s="138"/>
      <c r="L350" s="29"/>
      <c r="M350" s="42"/>
      <c r="N350" s="29"/>
      <c r="O350" s="29"/>
      <c r="P350" s="29"/>
    </row>
    <row r="351" customFormat="false" ht="14.25" hidden="false" customHeight="false" outlineLevel="0" collapsed="false">
      <c r="A351" s="107" t="s">
        <v>351</v>
      </c>
      <c r="B351" s="24" t="s">
        <v>64</v>
      </c>
      <c r="C351" s="23" t="n">
        <v>97113</v>
      </c>
      <c r="D351" s="25" t="s">
        <v>65</v>
      </c>
      <c r="E351" s="23" t="s">
        <v>19</v>
      </c>
      <c r="F351" s="26" t="n">
        <f aca="false">21.75*2</f>
        <v>43.5</v>
      </c>
      <c r="G351" s="138"/>
      <c r="H351" s="138"/>
      <c r="I351" s="138"/>
      <c r="J351" s="138"/>
      <c r="K351" s="138"/>
      <c r="L351" s="29"/>
      <c r="M351" s="42"/>
      <c r="N351" s="29"/>
      <c r="O351" s="29"/>
      <c r="P351" s="29"/>
    </row>
    <row r="352" customFormat="false" ht="14.25" hidden="false" customHeight="false" outlineLevel="0" collapsed="false">
      <c r="A352" s="107" t="s">
        <v>352</v>
      </c>
      <c r="B352" s="30" t="s">
        <v>21</v>
      </c>
      <c r="C352" s="23" t="s">
        <v>178</v>
      </c>
      <c r="D352" s="25" t="s">
        <v>179</v>
      </c>
      <c r="E352" s="23" t="s">
        <v>19</v>
      </c>
      <c r="F352" s="26" t="n">
        <f aca="false">F351</f>
        <v>43.5</v>
      </c>
      <c r="G352" s="138"/>
      <c r="H352" s="138"/>
      <c r="I352" s="138"/>
      <c r="J352" s="138"/>
      <c r="K352" s="138"/>
      <c r="L352" s="29"/>
      <c r="M352" s="42"/>
      <c r="N352" s="29"/>
      <c r="O352" s="29"/>
      <c r="P352" s="29"/>
    </row>
    <row r="353" customFormat="false" ht="14.9" hidden="false" customHeight="false" outlineLevel="0" collapsed="false">
      <c r="A353" s="107" t="s">
        <v>353</v>
      </c>
      <c r="B353" s="24" t="s">
        <v>64</v>
      </c>
      <c r="C353" s="23" t="n">
        <v>88472</v>
      </c>
      <c r="D353" s="25" t="s">
        <v>181</v>
      </c>
      <c r="E353" s="23" t="s">
        <v>19</v>
      </c>
      <c r="F353" s="26" t="n">
        <f aca="false">F352</f>
        <v>43.5</v>
      </c>
      <c r="G353" s="138"/>
      <c r="H353" s="138"/>
      <c r="I353" s="138"/>
      <c r="J353" s="138"/>
      <c r="K353" s="138"/>
      <c r="L353" s="29"/>
      <c r="M353" s="42"/>
      <c r="N353" s="29"/>
      <c r="O353" s="29"/>
      <c r="P353" s="29"/>
    </row>
    <row r="354" customFormat="false" ht="14.9" hidden="false" customHeight="false" outlineLevel="0" collapsed="false">
      <c r="A354" s="107" t="s">
        <v>354</v>
      </c>
      <c r="B354" s="24" t="s">
        <v>64</v>
      </c>
      <c r="C354" s="23" t="n">
        <v>39507</v>
      </c>
      <c r="D354" s="25" t="s">
        <v>183</v>
      </c>
      <c r="E354" s="23" t="s">
        <v>19</v>
      </c>
      <c r="F354" s="26" t="n">
        <f aca="false">F353</f>
        <v>43.5</v>
      </c>
      <c r="G354" s="138"/>
      <c r="H354" s="138"/>
      <c r="I354" s="138"/>
      <c r="J354" s="138"/>
      <c r="K354" s="138"/>
      <c r="L354" s="29"/>
      <c r="M354" s="42"/>
      <c r="N354" s="29"/>
      <c r="O354" s="29"/>
      <c r="P354" s="29"/>
    </row>
    <row r="355" customFormat="false" ht="14.9" hidden="false" customHeight="false" outlineLevel="0" collapsed="false">
      <c r="A355" s="107" t="s">
        <v>355</v>
      </c>
      <c r="B355" s="24" t="s">
        <v>64</v>
      </c>
      <c r="C355" s="23" t="n">
        <v>87257</v>
      </c>
      <c r="D355" s="25" t="s">
        <v>185</v>
      </c>
      <c r="E355" s="23" t="s">
        <v>19</v>
      </c>
      <c r="F355" s="26" t="n">
        <f aca="false">F354</f>
        <v>43.5</v>
      </c>
      <c r="G355" s="138"/>
      <c r="H355" s="138"/>
      <c r="I355" s="138"/>
      <c r="J355" s="138"/>
      <c r="K355" s="138"/>
      <c r="L355" s="29"/>
      <c r="M355" s="29"/>
      <c r="N355" s="29"/>
      <c r="O355" s="29"/>
      <c r="P355" s="29"/>
    </row>
    <row r="356" customFormat="false" ht="14.9" hidden="false" customHeight="false" outlineLevel="0" collapsed="false">
      <c r="A356" s="107" t="s">
        <v>356</v>
      </c>
      <c r="B356" s="24" t="s">
        <v>64</v>
      </c>
      <c r="C356" s="23" t="n">
        <v>88650</v>
      </c>
      <c r="D356" s="25" t="s">
        <v>187</v>
      </c>
      <c r="E356" s="23" t="s">
        <v>24</v>
      </c>
      <c r="F356" s="26" t="n">
        <f aca="false">SUM(5.9+5+3.7+3.7)*2</f>
        <v>36.6</v>
      </c>
      <c r="G356" s="138"/>
      <c r="H356" s="138"/>
      <c r="I356" s="138"/>
      <c r="J356" s="138"/>
      <c r="K356" s="138"/>
      <c r="L356" s="29"/>
      <c r="M356" s="29"/>
      <c r="N356" s="29"/>
      <c r="O356" s="29"/>
      <c r="P356" s="29"/>
    </row>
    <row r="357" customFormat="false" ht="14.25" hidden="false" customHeight="false" outlineLevel="0" collapsed="false">
      <c r="A357" s="107" t="s">
        <v>357</v>
      </c>
      <c r="B357" s="30" t="s">
        <v>21</v>
      </c>
      <c r="C357" s="23" t="s">
        <v>189</v>
      </c>
      <c r="D357" s="25" t="s">
        <v>190</v>
      </c>
      <c r="E357" s="23" t="s">
        <v>24</v>
      </c>
      <c r="F357" s="26" t="n">
        <f aca="false">SUM(2*4)+(0.9*2)</f>
        <v>9.8</v>
      </c>
      <c r="G357" s="138"/>
      <c r="H357" s="138"/>
      <c r="I357" s="138"/>
      <c r="J357" s="138"/>
      <c r="K357" s="138"/>
      <c r="L357" s="29"/>
      <c r="M357" s="29"/>
      <c r="N357" s="29"/>
      <c r="O357" s="29"/>
      <c r="P357" s="29"/>
    </row>
    <row r="358" customFormat="false" ht="14.25" hidden="false" customHeight="false" outlineLevel="0" collapsed="false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29"/>
      <c r="M358" s="29"/>
      <c r="N358" s="29"/>
      <c r="O358" s="29"/>
      <c r="P358" s="29"/>
    </row>
    <row r="359" customFormat="false" ht="14.25" hidden="false" customHeight="false" outlineLevel="0" collapsed="false">
      <c r="A359" s="164" t="s">
        <v>191</v>
      </c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29"/>
      <c r="M359" s="29"/>
      <c r="N359" s="29"/>
      <c r="O359" s="29"/>
      <c r="P359" s="29"/>
    </row>
    <row r="360" customFormat="false" ht="14.25" hidden="false" customHeight="false" outlineLevel="0" collapsed="false">
      <c r="A360" s="107" t="s">
        <v>358</v>
      </c>
      <c r="B360" s="23" t="s">
        <v>26</v>
      </c>
      <c r="C360" s="23" t="s">
        <v>193</v>
      </c>
      <c r="D360" s="25" t="s">
        <v>194</v>
      </c>
      <c r="E360" s="54" t="s">
        <v>19</v>
      </c>
      <c r="F360" s="161" t="n">
        <f aca="false">(2*1)*4</f>
        <v>8</v>
      </c>
      <c r="G360" s="138"/>
      <c r="H360" s="138"/>
      <c r="I360" s="138"/>
      <c r="J360" s="138"/>
      <c r="K360" s="138"/>
      <c r="L360" s="29"/>
      <c r="M360" s="29"/>
      <c r="N360" s="29"/>
      <c r="O360" s="29"/>
      <c r="P360" s="29"/>
    </row>
    <row r="361" customFormat="false" ht="14.25" hidden="false" customHeight="false" outlineLevel="0" collapsed="false">
      <c r="A361" s="107" t="s">
        <v>359</v>
      </c>
      <c r="B361" s="24" t="s">
        <v>57</v>
      </c>
      <c r="C361" s="23" t="s">
        <v>361</v>
      </c>
      <c r="D361" s="25" t="s">
        <v>362</v>
      </c>
      <c r="E361" s="23" t="s">
        <v>19</v>
      </c>
      <c r="F361" s="26" t="n">
        <f aca="false">(0.9*2.1)*2</f>
        <v>3.78</v>
      </c>
      <c r="G361" s="138"/>
      <c r="H361" s="138"/>
      <c r="I361" s="138"/>
      <c r="J361" s="138"/>
      <c r="K361" s="138"/>
      <c r="L361" s="29"/>
      <c r="M361" s="29"/>
      <c r="N361" s="29"/>
      <c r="O361" s="29"/>
      <c r="P361" s="29"/>
    </row>
    <row r="362" customFormat="false" ht="14.25" hidden="false" customHeight="false" outlineLevel="0" collapsed="false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29"/>
      <c r="M362" s="29"/>
      <c r="N362" s="29"/>
      <c r="O362" s="29"/>
      <c r="P362" s="29"/>
    </row>
    <row r="363" customFormat="false" ht="14.25" hidden="false" customHeight="false" outlineLevel="0" collapsed="false">
      <c r="A363" s="162" t="s">
        <v>363</v>
      </c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29"/>
      <c r="M363" s="29"/>
      <c r="N363" s="29"/>
      <c r="O363" s="29"/>
      <c r="P363" s="29"/>
    </row>
    <row r="364" customFormat="false" ht="21.6" hidden="false" customHeight="false" outlineLevel="0" collapsed="false">
      <c r="A364" s="107" t="s">
        <v>360</v>
      </c>
      <c r="B364" s="23" t="s">
        <v>26</v>
      </c>
      <c r="C364" s="23" t="s">
        <v>206</v>
      </c>
      <c r="D364" s="25" t="s">
        <v>207</v>
      </c>
      <c r="E364" s="23" t="s">
        <v>39</v>
      </c>
      <c r="F364" s="26" t="n">
        <v>4</v>
      </c>
      <c r="G364" s="138"/>
      <c r="H364" s="138"/>
      <c r="I364" s="138"/>
      <c r="J364" s="138"/>
      <c r="K364" s="138"/>
      <c r="L364" s="29"/>
      <c r="M364" s="29"/>
      <c r="N364" s="29"/>
      <c r="O364" s="29"/>
      <c r="P364" s="29"/>
    </row>
    <row r="365" customFormat="false" ht="14.9" hidden="false" customHeight="false" outlineLevel="0" collapsed="false">
      <c r="A365" s="107" t="s">
        <v>364</v>
      </c>
      <c r="B365" s="23" t="s">
        <v>26</v>
      </c>
      <c r="C365" s="23" t="s">
        <v>209</v>
      </c>
      <c r="D365" s="25" t="s">
        <v>210</v>
      </c>
      <c r="E365" s="23" t="s">
        <v>24</v>
      </c>
      <c r="F365" s="26" t="n">
        <v>4</v>
      </c>
      <c r="G365" s="138"/>
      <c r="H365" s="138"/>
      <c r="I365" s="138"/>
      <c r="J365" s="138"/>
      <c r="K365" s="138"/>
      <c r="L365" s="29"/>
      <c r="M365" s="29"/>
      <c r="N365" s="29"/>
      <c r="O365" s="29"/>
      <c r="P365" s="29"/>
    </row>
    <row r="366" customFormat="false" ht="14.25" hidden="false" customHeight="false" outlineLevel="0" collapsed="false">
      <c r="A366" s="107" t="s">
        <v>365</v>
      </c>
      <c r="B366" s="23" t="s">
        <v>21</v>
      </c>
      <c r="C366" s="23" t="s">
        <v>212</v>
      </c>
      <c r="D366" s="25" t="s">
        <v>213</v>
      </c>
      <c r="E366" s="23" t="s">
        <v>204</v>
      </c>
      <c r="F366" s="26" t="n">
        <v>2</v>
      </c>
      <c r="G366" s="138"/>
      <c r="H366" s="138"/>
      <c r="I366" s="138"/>
      <c r="J366" s="138"/>
      <c r="K366" s="138"/>
      <c r="L366" s="29"/>
      <c r="M366" s="29"/>
      <c r="N366" s="29"/>
      <c r="O366" s="29"/>
      <c r="P366" s="29"/>
    </row>
    <row r="367" customFormat="false" ht="14.25" hidden="false" customHeight="false" outlineLevel="0" collapsed="false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29"/>
      <c r="M367" s="29"/>
      <c r="N367" s="29"/>
      <c r="O367" s="29"/>
      <c r="P367" s="29"/>
    </row>
    <row r="368" customFormat="false" ht="14.25" hidden="false" customHeight="false" outlineLevel="0" collapsed="false">
      <c r="A368" s="162" t="s">
        <v>367</v>
      </c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29"/>
      <c r="M368" s="29"/>
      <c r="N368" s="29"/>
      <c r="O368" s="29"/>
      <c r="P368" s="29"/>
    </row>
    <row r="369" customFormat="false" ht="14.25" hidden="false" customHeight="false" outlineLevel="0" collapsed="false">
      <c r="A369" s="107" t="s">
        <v>366</v>
      </c>
      <c r="B369" s="30" t="s">
        <v>21</v>
      </c>
      <c r="C369" s="23" t="s">
        <v>369</v>
      </c>
      <c r="D369" s="25" t="s">
        <v>370</v>
      </c>
      <c r="E369" s="23" t="s">
        <v>39</v>
      </c>
      <c r="F369" s="26" t="n">
        <v>8</v>
      </c>
      <c r="G369" s="109"/>
      <c r="H369" s="109"/>
      <c r="I369" s="109"/>
      <c r="J369" s="109"/>
      <c r="K369" s="109"/>
      <c r="L369" s="29"/>
      <c r="M369" s="29"/>
      <c r="N369" s="29"/>
      <c r="O369" s="29"/>
      <c r="P369" s="29"/>
    </row>
    <row r="370" customFormat="false" ht="14.25" hidden="false" customHeight="false" outlineLevel="0" collapsed="false">
      <c r="A370" s="107" t="s">
        <v>368</v>
      </c>
      <c r="B370" s="31" t="s">
        <v>26</v>
      </c>
      <c r="C370" s="23" t="s">
        <v>372</v>
      </c>
      <c r="D370" s="25" t="s">
        <v>373</v>
      </c>
      <c r="E370" s="23" t="s">
        <v>19</v>
      </c>
      <c r="F370" s="26" t="n">
        <f aca="false">(4.9*0.6)*2</f>
        <v>5.88</v>
      </c>
      <c r="G370" s="109"/>
      <c r="H370" s="109"/>
      <c r="I370" s="109"/>
      <c r="J370" s="109"/>
      <c r="K370" s="109"/>
      <c r="L370" s="29"/>
      <c r="M370" s="29"/>
      <c r="N370" s="29"/>
      <c r="O370" s="29"/>
      <c r="P370" s="29"/>
    </row>
    <row r="371" customFormat="false" ht="21.6" hidden="false" customHeight="false" outlineLevel="0" collapsed="false">
      <c r="A371" s="107" t="s">
        <v>371</v>
      </c>
      <c r="B371" s="31" t="s">
        <v>26</v>
      </c>
      <c r="C371" s="23" t="s">
        <v>375</v>
      </c>
      <c r="D371" s="25" t="s">
        <v>376</v>
      </c>
      <c r="E371" s="23" t="s">
        <v>377</v>
      </c>
      <c r="F371" s="26" t="n">
        <v>10</v>
      </c>
      <c r="G371" s="109"/>
      <c r="H371" s="109"/>
      <c r="I371" s="109"/>
      <c r="J371" s="109"/>
      <c r="K371" s="109"/>
      <c r="L371" s="29"/>
      <c r="M371" s="29"/>
      <c r="N371" s="29"/>
      <c r="O371" s="29"/>
      <c r="P371" s="29"/>
    </row>
    <row r="372" customFormat="false" ht="14.25" hidden="false" customHeight="false" outlineLevel="0" collapsed="false">
      <c r="A372" s="107" t="s">
        <v>374</v>
      </c>
      <c r="B372" s="31" t="s">
        <v>26</v>
      </c>
      <c r="C372" s="23" t="s">
        <v>379</v>
      </c>
      <c r="D372" s="25" t="s">
        <v>380</v>
      </c>
      <c r="E372" s="23" t="s">
        <v>377</v>
      </c>
      <c r="F372" s="26" t="n">
        <v>10</v>
      </c>
      <c r="G372" s="109"/>
      <c r="H372" s="109"/>
      <c r="I372" s="109"/>
      <c r="J372" s="109"/>
      <c r="K372" s="109"/>
      <c r="L372" s="29"/>
      <c r="M372" s="29"/>
      <c r="N372" s="29"/>
      <c r="O372" s="29"/>
      <c r="P372" s="29"/>
    </row>
    <row r="373" customFormat="false" ht="14.25" hidden="false" customHeight="false" outlineLevel="0" collapsed="false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29"/>
      <c r="M373" s="29"/>
      <c r="N373" s="29"/>
      <c r="O373" s="29"/>
      <c r="P373" s="29"/>
    </row>
    <row r="374" customFormat="false" ht="14.25" hidden="false" customHeight="false" outlineLevel="0" collapsed="false">
      <c r="A374" s="162" t="s">
        <v>381</v>
      </c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29"/>
      <c r="M374" s="29"/>
      <c r="N374" s="29"/>
      <c r="O374" s="29"/>
      <c r="P374" s="29"/>
    </row>
    <row r="375" customFormat="false" ht="14.25" hidden="false" customHeight="false" outlineLevel="0" collapsed="false">
      <c r="A375" s="107" t="s">
        <v>378</v>
      </c>
      <c r="B375" s="31" t="s">
        <v>26</v>
      </c>
      <c r="C375" s="23" t="s">
        <v>383</v>
      </c>
      <c r="D375" s="25" t="s">
        <v>384</v>
      </c>
      <c r="E375" s="23" t="s">
        <v>19</v>
      </c>
      <c r="F375" s="26" t="n">
        <f aca="false">SUM(F376:F377)</f>
        <v>49.56</v>
      </c>
      <c r="G375" s="138"/>
      <c r="H375" s="138"/>
      <c r="I375" s="138"/>
      <c r="J375" s="138"/>
      <c r="K375" s="138"/>
      <c r="L375" s="29"/>
      <c r="M375" s="29"/>
      <c r="N375" s="29"/>
      <c r="O375" s="29"/>
      <c r="P375" s="29"/>
    </row>
    <row r="376" customFormat="false" ht="14.25" hidden="false" customHeight="true" outlineLevel="0" collapsed="false">
      <c r="A376" s="107"/>
      <c r="B376" s="107"/>
      <c r="C376" s="107"/>
      <c r="D376" s="153" t="s">
        <v>916</v>
      </c>
      <c r="E376" s="153"/>
      <c r="F376" s="143" t="n">
        <f aca="false">SUM(1.2*2.1)*8+(5.9*2.1)-(0.7*2.1*4)-(0.9*2.1)</f>
        <v>24.78</v>
      </c>
      <c r="G376" s="138"/>
      <c r="H376" s="138"/>
      <c r="I376" s="138"/>
      <c r="J376" s="138"/>
      <c r="K376" s="138"/>
      <c r="L376" s="29"/>
      <c r="M376" s="29"/>
      <c r="N376" s="29"/>
      <c r="O376" s="29"/>
      <c r="P376" s="29"/>
    </row>
    <row r="377" customFormat="false" ht="14.25" hidden="false" customHeight="true" outlineLevel="0" collapsed="false">
      <c r="A377" s="107"/>
      <c r="B377" s="107"/>
      <c r="C377" s="107"/>
      <c r="D377" s="153" t="s">
        <v>917</v>
      </c>
      <c r="E377" s="153"/>
      <c r="F377" s="143" t="n">
        <f aca="false">SUM(1.2*2.1)*8+(5.9*2.1)-(0.7*2.1*4)-(0.9*2.1)</f>
        <v>24.78</v>
      </c>
      <c r="G377" s="138"/>
      <c r="H377" s="138"/>
      <c r="I377" s="138"/>
      <c r="J377" s="138"/>
      <c r="K377" s="138"/>
      <c r="L377" s="29"/>
      <c r="M377" s="29"/>
      <c r="N377" s="29"/>
      <c r="O377" s="29"/>
      <c r="P377" s="29"/>
    </row>
    <row r="378" customFormat="false" ht="14.25" hidden="false" customHeight="false" outlineLevel="0" collapsed="false">
      <c r="A378" s="107" t="s">
        <v>382</v>
      </c>
      <c r="B378" s="24" t="s">
        <v>57</v>
      </c>
      <c r="C378" s="23" t="s">
        <v>361</v>
      </c>
      <c r="D378" s="25" t="s">
        <v>362</v>
      </c>
      <c r="E378" s="23" t="s">
        <v>19</v>
      </c>
      <c r="F378" s="26" t="n">
        <f aca="false">SUM(F379:F380)</f>
        <v>15.54</v>
      </c>
      <c r="G378" s="138"/>
      <c r="H378" s="138"/>
      <c r="I378" s="138"/>
      <c r="J378" s="138"/>
      <c r="K378" s="138"/>
      <c r="L378" s="29"/>
      <c r="M378" s="29"/>
      <c r="N378" s="29"/>
      <c r="O378" s="29"/>
      <c r="P378" s="29"/>
    </row>
    <row r="379" customFormat="false" ht="14.25" hidden="false" customHeight="true" outlineLevel="0" collapsed="false">
      <c r="A379" s="107"/>
      <c r="B379" s="107"/>
      <c r="C379" s="107"/>
      <c r="D379" s="153" t="s">
        <v>918</v>
      </c>
      <c r="E379" s="153"/>
      <c r="F379" s="143" t="n">
        <f aca="false">SUM(0.7*2.1)*8</f>
        <v>11.76</v>
      </c>
      <c r="G379" s="138"/>
      <c r="H379" s="138"/>
      <c r="I379" s="138"/>
      <c r="J379" s="138"/>
      <c r="K379" s="138"/>
      <c r="L379" s="29"/>
      <c r="M379" s="29"/>
      <c r="N379" s="29"/>
      <c r="O379" s="29"/>
      <c r="P379" s="29"/>
    </row>
    <row r="380" customFormat="false" ht="14.25" hidden="false" customHeight="true" outlineLevel="0" collapsed="false">
      <c r="A380" s="107"/>
      <c r="B380" s="107"/>
      <c r="C380" s="107"/>
      <c r="D380" s="153" t="s">
        <v>918</v>
      </c>
      <c r="E380" s="153"/>
      <c r="F380" s="143" t="n">
        <f aca="false">SUM(0.9*2.1)*2</f>
        <v>3.78</v>
      </c>
      <c r="G380" s="138"/>
      <c r="H380" s="138"/>
      <c r="I380" s="138"/>
      <c r="J380" s="138"/>
      <c r="K380" s="138"/>
      <c r="L380" s="29"/>
      <c r="M380" s="29"/>
      <c r="N380" s="29"/>
      <c r="O380" s="29"/>
      <c r="P380" s="29"/>
    </row>
    <row r="381" customFormat="false" ht="14.25" hidden="false" customHeight="false" outlineLevel="0" collapsed="false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29"/>
      <c r="M381" s="29"/>
      <c r="N381" s="29"/>
      <c r="O381" s="29"/>
      <c r="P381" s="29"/>
    </row>
    <row r="382" customFormat="false" ht="14.25" hidden="false" customHeight="false" outlineLevel="0" collapsed="false">
      <c r="A382" s="164" t="s">
        <v>214</v>
      </c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29"/>
      <c r="M382" s="29"/>
      <c r="N382" s="29"/>
      <c r="O382" s="29"/>
      <c r="P382" s="29"/>
    </row>
    <row r="383" customFormat="false" ht="14.25" hidden="false" customHeight="false" outlineLevel="0" collapsed="false">
      <c r="A383" s="107" t="s">
        <v>385</v>
      </c>
      <c r="B383" s="23" t="s">
        <v>21</v>
      </c>
      <c r="C383" s="54" t="s">
        <v>216</v>
      </c>
      <c r="D383" s="25" t="s">
        <v>217</v>
      </c>
      <c r="E383" s="54" t="s">
        <v>39</v>
      </c>
      <c r="F383" s="23" t="n">
        <v>2</v>
      </c>
      <c r="G383" s="109"/>
      <c r="H383" s="109"/>
      <c r="I383" s="109"/>
      <c r="J383" s="109"/>
      <c r="K383" s="109"/>
      <c r="L383" s="60"/>
      <c r="M383" s="60"/>
      <c r="N383" s="60"/>
      <c r="O383" s="60"/>
      <c r="P383" s="60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</row>
    <row r="384" customFormat="false" ht="14.25" hidden="false" customHeight="false" outlineLevel="0" collapsed="false">
      <c r="A384" s="107" t="s">
        <v>386</v>
      </c>
      <c r="B384" s="23" t="s">
        <v>21</v>
      </c>
      <c r="C384" s="54" t="s">
        <v>219</v>
      </c>
      <c r="D384" s="25" t="s">
        <v>220</v>
      </c>
      <c r="E384" s="54" t="s">
        <v>24</v>
      </c>
      <c r="F384" s="23" t="n">
        <f aca="false">(1.1*2)+(1.4*8)+(2*10)+(1.5*2)</f>
        <v>36.4</v>
      </c>
      <c r="G384" s="109"/>
      <c r="H384" s="109"/>
      <c r="I384" s="109"/>
      <c r="J384" s="109"/>
      <c r="K384" s="109"/>
      <c r="L384" s="60"/>
      <c r="M384" s="60"/>
      <c r="N384" s="60"/>
      <c r="O384" s="60"/>
      <c r="P384" s="60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</row>
    <row r="385" customFormat="false" ht="14.25" hidden="false" customHeight="false" outlineLevel="0" collapsed="false">
      <c r="A385" s="107" t="s">
        <v>387</v>
      </c>
      <c r="B385" s="23" t="s">
        <v>21</v>
      </c>
      <c r="C385" s="54" t="s">
        <v>222</v>
      </c>
      <c r="D385" s="25" t="s">
        <v>223</v>
      </c>
      <c r="E385" s="54" t="s">
        <v>24</v>
      </c>
      <c r="F385" s="23" t="n">
        <v>13</v>
      </c>
      <c r="G385" s="109"/>
      <c r="H385" s="109"/>
      <c r="I385" s="109"/>
      <c r="J385" s="109"/>
      <c r="K385" s="109"/>
      <c r="L385" s="60"/>
      <c r="M385" s="60"/>
      <c r="N385" s="60"/>
      <c r="O385" s="60"/>
      <c r="P385" s="60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</row>
    <row r="386" customFormat="false" ht="14.25" hidden="false" customHeight="false" outlineLevel="0" collapsed="false">
      <c r="A386" s="107" t="s">
        <v>388</v>
      </c>
      <c r="B386" s="23" t="s">
        <v>21</v>
      </c>
      <c r="C386" s="54" t="s">
        <v>225</v>
      </c>
      <c r="D386" s="25" t="s">
        <v>226</v>
      </c>
      <c r="E386" s="54" t="s">
        <v>24</v>
      </c>
      <c r="F386" s="23" t="n">
        <v>31</v>
      </c>
      <c r="G386" s="109"/>
      <c r="H386" s="109"/>
      <c r="I386" s="109"/>
      <c r="J386" s="109"/>
      <c r="K386" s="109"/>
      <c r="L386" s="60"/>
      <c r="M386" s="60"/>
      <c r="N386" s="60"/>
      <c r="O386" s="60"/>
      <c r="P386" s="60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</row>
    <row r="387" customFormat="false" ht="14.25" hidden="false" customHeight="false" outlineLevel="0" collapsed="false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60"/>
      <c r="M387" s="60"/>
      <c r="N387" s="60"/>
      <c r="O387" s="60"/>
      <c r="P387" s="60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</row>
    <row r="388" customFormat="false" ht="14.25" hidden="false" customHeight="false" outlineLevel="0" collapsed="false">
      <c r="A388" s="164" t="s">
        <v>227</v>
      </c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29"/>
      <c r="M388" s="29"/>
      <c r="N388" s="29"/>
      <c r="O388" s="29"/>
      <c r="P388" s="29"/>
    </row>
    <row r="389" customFormat="false" ht="14.25" hidden="false" customHeight="false" outlineLevel="0" collapsed="false">
      <c r="A389" s="107" t="s">
        <v>389</v>
      </c>
      <c r="B389" s="23" t="s">
        <v>57</v>
      </c>
      <c r="C389" s="23" t="n">
        <v>102605</v>
      </c>
      <c r="D389" s="25" t="s">
        <v>229</v>
      </c>
      <c r="E389" s="54" t="s">
        <v>39</v>
      </c>
      <c r="F389" s="23" t="n">
        <v>2</v>
      </c>
      <c r="G389" s="138"/>
      <c r="H389" s="138"/>
      <c r="I389" s="138"/>
      <c r="J389" s="138"/>
      <c r="K389" s="138"/>
      <c r="L389" s="29"/>
      <c r="M389" s="29"/>
      <c r="N389" s="29"/>
      <c r="O389" s="29"/>
      <c r="P389" s="29"/>
    </row>
    <row r="390" customFormat="false" ht="14.9" hidden="false" customHeight="false" outlineLevel="0" collapsed="false">
      <c r="A390" s="107" t="s">
        <v>390</v>
      </c>
      <c r="B390" s="23" t="s">
        <v>57</v>
      </c>
      <c r="C390" s="23" t="n">
        <v>89971</v>
      </c>
      <c r="D390" s="25" t="s">
        <v>231</v>
      </c>
      <c r="E390" s="54" t="s">
        <v>39</v>
      </c>
      <c r="F390" s="23" t="n">
        <v>4</v>
      </c>
      <c r="G390" s="138"/>
      <c r="H390" s="138"/>
      <c r="I390" s="138"/>
      <c r="J390" s="138"/>
      <c r="K390" s="138"/>
      <c r="L390" s="29"/>
      <c r="M390" s="29"/>
      <c r="N390" s="29"/>
      <c r="O390" s="29"/>
      <c r="P390" s="29"/>
    </row>
    <row r="391" customFormat="false" ht="14.25" hidden="false" customHeight="false" outlineLevel="0" collapsed="false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29"/>
      <c r="M391" s="29"/>
      <c r="N391" s="29"/>
      <c r="O391" s="29"/>
      <c r="P391" s="29"/>
    </row>
    <row r="392" customFormat="false" ht="14.25" hidden="false" customHeight="false" outlineLevel="0" collapsed="false">
      <c r="A392" s="164" t="s">
        <v>232</v>
      </c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29"/>
      <c r="M392" s="29"/>
      <c r="N392" s="29"/>
      <c r="O392" s="29"/>
      <c r="P392" s="29"/>
    </row>
    <row r="393" customFormat="false" ht="21.6" hidden="false" customHeight="false" outlineLevel="0" collapsed="false">
      <c r="A393" s="107" t="s">
        <v>391</v>
      </c>
      <c r="B393" s="23" t="s">
        <v>26</v>
      </c>
      <c r="C393" s="54" t="s">
        <v>234</v>
      </c>
      <c r="D393" s="25" t="s">
        <v>393</v>
      </c>
      <c r="E393" s="54" t="s">
        <v>24</v>
      </c>
      <c r="F393" s="23" t="n">
        <f aca="false">SUM(2.8*10)+(2.1*10)+45</f>
        <v>94</v>
      </c>
      <c r="G393" s="138"/>
      <c r="H393" s="138"/>
      <c r="I393" s="138"/>
      <c r="J393" s="138"/>
      <c r="K393" s="138"/>
      <c r="L393" s="60"/>
      <c r="M393" s="60"/>
      <c r="N393" s="60"/>
      <c r="O393" s="60"/>
      <c r="P393" s="60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</row>
    <row r="394" customFormat="false" ht="14.9" hidden="false" customHeight="false" outlineLevel="0" collapsed="false">
      <c r="A394" s="107" t="s">
        <v>392</v>
      </c>
      <c r="B394" s="23" t="s">
        <v>26</v>
      </c>
      <c r="C394" s="54" t="s">
        <v>237</v>
      </c>
      <c r="D394" s="25" t="s">
        <v>238</v>
      </c>
      <c r="E394" s="54" t="s">
        <v>39</v>
      </c>
      <c r="F394" s="23" t="n">
        <v>4</v>
      </c>
      <c r="G394" s="138"/>
      <c r="H394" s="138"/>
      <c r="I394" s="138"/>
      <c r="J394" s="138"/>
      <c r="K394" s="138"/>
      <c r="L394" s="60"/>
      <c r="M394" s="60"/>
      <c r="N394" s="60"/>
      <c r="O394" s="60"/>
      <c r="P394" s="60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</row>
    <row r="395" customFormat="false" ht="14.25" hidden="false" customHeight="false" outlineLevel="0" collapsed="false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60"/>
      <c r="M395" s="60"/>
      <c r="N395" s="60"/>
      <c r="O395" s="60"/>
      <c r="P395" s="60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</row>
    <row r="396" customFormat="false" ht="14.25" hidden="false" customHeight="false" outlineLevel="0" collapsed="false">
      <c r="A396" s="104" t="s">
        <v>396</v>
      </c>
      <c r="B396" s="165" t="str">
        <f aca="false">ORÇAMENTO!B236:K236</f>
        <v>CONSTRUÇÃO DO PISO EM FRENTE AOS BANHEIROS </v>
      </c>
      <c r="C396" s="165"/>
      <c r="D396" s="165"/>
      <c r="E396" s="165"/>
      <c r="F396" s="165"/>
      <c r="G396" s="165"/>
      <c r="H396" s="165"/>
      <c r="I396" s="165"/>
      <c r="J396" s="165"/>
      <c r="K396" s="165"/>
    </row>
    <row r="397" customFormat="false" ht="14.25" hidden="false" customHeight="true" outlineLevel="0" collapsed="false">
      <c r="A397" s="107" t="s">
        <v>398</v>
      </c>
      <c r="B397" s="30" t="s">
        <v>21</v>
      </c>
      <c r="C397" s="23" t="s">
        <v>399</v>
      </c>
      <c r="D397" s="41" t="s">
        <v>400</v>
      </c>
      <c r="E397" s="23" t="s">
        <v>19</v>
      </c>
      <c r="F397" s="111" t="n">
        <v>80</v>
      </c>
      <c r="G397" s="109" t="s">
        <v>919</v>
      </c>
      <c r="H397" s="109"/>
      <c r="I397" s="109"/>
      <c r="J397" s="109"/>
      <c r="K397" s="109"/>
    </row>
    <row r="398" customFormat="false" ht="14.25" hidden="false" customHeight="false" outlineLevel="0" collapsed="false">
      <c r="A398" s="107" t="s">
        <v>401</v>
      </c>
      <c r="B398" s="30" t="s">
        <v>21</v>
      </c>
      <c r="C398" s="23" t="s">
        <v>273</v>
      </c>
      <c r="D398" s="41" t="s">
        <v>274</v>
      </c>
      <c r="E398" s="23" t="s">
        <v>49</v>
      </c>
      <c r="F398" s="111" t="n">
        <f aca="false">SUM(80*0.2)</f>
        <v>16</v>
      </c>
      <c r="G398" s="109"/>
      <c r="H398" s="109"/>
      <c r="I398" s="109"/>
      <c r="J398" s="109"/>
      <c r="K398" s="109"/>
    </row>
    <row r="399" customFormat="false" ht="14.25" hidden="false" customHeight="false" outlineLevel="0" collapsed="false">
      <c r="A399" s="107" t="s">
        <v>402</v>
      </c>
      <c r="B399" s="30" t="s">
        <v>21</v>
      </c>
      <c r="C399" s="23" t="s">
        <v>254</v>
      </c>
      <c r="D399" s="25" t="s">
        <v>255</v>
      </c>
      <c r="E399" s="23" t="s">
        <v>49</v>
      </c>
      <c r="F399" s="168" t="n">
        <f aca="false">SUM(80*0.25)</f>
        <v>20</v>
      </c>
      <c r="G399" s="109"/>
      <c r="H399" s="109"/>
      <c r="I399" s="109"/>
      <c r="J399" s="109"/>
      <c r="K399" s="109"/>
    </row>
    <row r="400" customFormat="false" ht="14.9" hidden="false" customHeight="false" outlineLevel="0" collapsed="false">
      <c r="A400" s="107" t="s">
        <v>403</v>
      </c>
      <c r="B400" s="24" t="s">
        <v>57</v>
      </c>
      <c r="C400" s="23" t="n">
        <v>100982</v>
      </c>
      <c r="D400" s="41" t="s">
        <v>257</v>
      </c>
      <c r="E400" s="23" t="s">
        <v>49</v>
      </c>
      <c r="F400" s="111" t="n">
        <f aca="false">F399</f>
        <v>20</v>
      </c>
      <c r="G400" s="109"/>
      <c r="H400" s="109"/>
      <c r="I400" s="109"/>
      <c r="J400" s="109"/>
      <c r="K400" s="109"/>
    </row>
    <row r="401" customFormat="false" ht="14.9" hidden="false" customHeight="false" outlineLevel="0" collapsed="false">
      <c r="A401" s="107" t="s">
        <v>404</v>
      </c>
      <c r="B401" s="24" t="s">
        <v>57</v>
      </c>
      <c r="C401" s="23" t="n">
        <v>95875</v>
      </c>
      <c r="D401" s="41" t="s">
        <v>259</v>
      </c>
      <c r="E401" s="23" t="s">
        <v>260</v>
      </c>
      <c r="F401" s="111" t="n">
        <f aca="false">F400*10</f>
        <v>200</v>
      </c>
      <c r="G401" s="109"/>
      <c r="H401" s="109"/>
      <c r="I401" s="109"/>
      <c r="J401" s="109"/>
      <c r="K401" s="109"/>
    </row>
    <row r="402" customFormat="false" ht="14.25" hidden="false" customHeight="false" outlineLevel="0" collapsed="false">
      <c r="A402" s="107" t="s">
        <v>277</v>
      </c>
      <c r="B402" s="24" t="s">
        <v>64</v>
      </c>
      <c r="C402" s="23" t="n">
        <v>97113</v>
      </c>
      <c r="D402" s="25" t="s">
        <v>65</v>
      </c>
      <c r="E402" s="23" t="s">
        <v>19</v>
      </c>
      <c r="F402" s="26" t="n">
        <v>80</v>
      </c>
      <c r="G402" s="109"/>
      <c r="H402" s="109"/>
      <c r="I402" s="109"/>
      <c r="J402" s="109"/>
      <c r="K402" s="109"/>
      <c r="L402" s="29"/>
      <c r="M402" s="42"/>
      <c r="N402" s="29"/>
      <c r="O402" s="29"/>
      <c r="P402" s="29"/>
    </row>
    <row r="403" customFormat="false" ht="14.25" hidden="false" customHeight="false" outlineLevel="0" collapsed="false">
      <c r="A403" s="107" t="s">
        <v>278</v>
      </c>
      <c r="B403" s="24" t="s">
        <v>57</v>
      </c>
      <c r="C403" s="23" t="s">
        <v>69</v>
      </c>
      <c r="D403" s="25" t="s">
        <v>70</v>
      </c>
      <c r="E403" s="23" t="s">
        <v>19</v>
      </c>
      <c r="F403" s="26" t="n">
        <v>80</v>
      </c>
      <c r="G403" s="109"/>
      <c r="H403" s="109"/>
      <c r="I403" s="109"/>
      <c r="J403" s="109"/>
      <c r="K403" s="109"/>
      <c r="L403" s="29"/>
      <c r="M403" s="29"/>
      <c r="N403" s="29"/>
      <c r="O403" s="29"/>
      <c r="P403" s="29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</row>
    <row r="404" customFormat="false" ht="14.9" hidden="false" customHeight="false" outlineLevel="0" collapsed="false">
      <c r="A404" s="107" t="s">
        <v>405</v>
      </c>
      <c r="B404" s="24" t="s">
        <v>57</v>
      </c>
      <c r="C404" s="23" t="n">
        <v>100324</v>
      </c>
      <c r="D404" s="41" t="s">
        <v>262</v>
      </c>
      <c r="E404" s="23" t="s">
        <v>49</v>
      </c>
      <c r="F404" s="111" t="n">
        <f aca="false">80*0.1</f>
        <v>8</v>
      </c>
      <c r="G404" s="109"/>
      <c r="H404" s="109"/>
      <c r="I404" s="109"/>
      <c r="J404" s="109"/>
      <c r="K404" s="109"/>
    </row>
    <row r="405" customFormat="false" ht="14.9" hidden="false" customHeight="false" outlineLevel="0" collapsed="false">
      <c r="A405" s="107" t="s">
        <v>406</v>
      </c>
      <c r="B405" s="24" t="s">
        <v>57</v>
      </c>
      <c r="C405" s="23" t="n">
        <v>101749</v>
      </c>
      <c r="D405" s="41" t="s">
        <v>264</v>
      </c>
      <c r="E405" s="23" t="s">
        <v>19</v>
      </c>
      <c r="F405" s="111" t="n">
        <f aca="false">80</f>
        <v>80</v>
      </c>
      <c r="G405" s="109"/>
      <c r="H405" s="109"/>
      <c r="I405" s="109"/>
      <c r="J405" s="109"/>
      <c r="K405" s="109"/>
    </row>
    <row r="406" customFormat="false" ht="14.9" hidden="false" customHeight="false" outlineLevel="0" collapsed="false">
      <c r="A406" s="107" t="s">
        <v>407</v>
      </c>
      <c r="B406" s="24" t="s">
        <v>57</v>
      </c>
      <c r="C406" s="23" t="n">
        <v>94990</v>
      </c>
      <c r="D406" s="41" t="s">
        <v>266</v>
      </c>
      <c r="E406" s="23" t="s">
        <v>49</v>
      </c>
      <c r="F406" s="111" t="n">
        <f aca="false">80*0.15</f>
        <v>12</v>
      </c>
      <c r="G406" s="109"/>
      <c r="H406" s="109"/>
      <c r="I406" s="109"/>
      <c r="J406" s="109"/>
      <c r="K406" s="109"/>
    </row>
    <row r="407" customFormat="false" ht="14.25" hidden="false" customHeight="false" outlineLevel="0" collapsed="false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customFormat="false" ht="14.25" hidden="false" customHeight="false" outlineLevel="0" collapsed="false">
      <c r="A408" s="104" t="s">
        <v>412</v>
      </c>
      <c r="B408" s="165" t="s">
        <v>920</v>
      </c>
      <c r="C408" s="165"/>
      <c r="D408" s="165"/>
      <c r="E408" s="165"/>
      <c r="F408" s="165"/>
      <c r="G408" s="165"/>
      <c r="H408" s="165"/>
      <c r="I408" s="165"/>
      <c r="J408" s="165"/>
      <c r="K408" s="165"/>
    </row>
    <row r="409" customFormat="false" ht="14.25" hidden="false" customHeight="false" outlineLevel="0" collapsed="false">
      <c r="A409" s="107" t="s">
        <v>413</v>
      </c>
      <c r="B409" s="31" t="s">
        <v>26</v>
      </c>
      <c r="C409" s="23" t="s">
        <v>414</v>
      </c>
      <c r="D409" s="41" t="s">
        <v>415</v>
      </c>
      <c r="E409" s="23" t="s">
        <v>204</v>
      </c>
      <c r="F409" s="111" t="n">
        <v>2</v>
      </c>
      <c r="G409" s="112"/>
      <c r="H409" s="112"/>
      <c r="I409" s="112"/>
      <c r="J409" s="112"/>
      <c r="K409" s="112"/>
    </row>
    <row r="410" customFormat="false" ht="14.25" hidden="false" customHeight="false" outlineLevel="0" collapsed="false">
      <c r="A410" s="107" t="s">
        <v>416</v>
      </c>
      <c r="B410" s="31" t="s">
        <v>26</v>
      </c>
      <c r="C410" s="23" t="s">
        <v>417</v>
      </c>
      <c r="D410" s="41" t="s">
        <v>418</v>
      </c>
      <c r="E410" s="23" t="s">
        <v>204</v>
      </c>
      <c r="F410" s="111" t="n">
        <v>3</v>
      </c>
      <c r="G410" s="112"/>
      <c r="H410" s="112"/>
      <c r="I410" s="112"/>
      <c r="J410" s="112"/>
      <c r="K410" s="112"/>
    </row>
    <row r="411" customFormat="false" ht="14.25" hidden="false" customHeight="false" outlineLevel="0" collapsed="false">
      <c r="A411" s="107" t="s">
        <v>419</v>
      </c>
      <c r="B411" s="31" t="s">
        <v>26</v>
      </c>
      <c r="C411" s="23" t="s">
        <v>420</v>
      </c>
      <c r="D411" s="41" t="s">
        <v>421</v>
      </c>
      <c r="E411" s="23" t="s">
        <v>204</v>
      </c>
      <c r="F411" s="111" t="n">
        <v>3</v>
      </c>
      <c r="G411" s="112"/>
      <c r="H411" s="112"/>
      <c r="I411" s="112"/>
      <c r="J411" s="112"/>
      <c r="K411" s="112"/>
    </row>
    <row r="412" customFormat="false" ht="14.25" hidden="false" customHeight="false" outlineLevel="0" collapsed="false">
      <c r="A412" s="107" t="s">
        <v>422</v>
      </c>
      <c r="B412" s="31" t="s">
        <v>26</v>
      </c>
      <c r="C412" s="23" t="s">
        <v>423</v>
      </c>
      <c r="D412" s="41" t="s">
        <v>424</v>
      </c>
      <c r="E412" s="23" t="s">
        <v>204</v>
      </c>
      <c r="F412" s="111" t="n">
        <v>3</v>
      </c>
      <c r="G412" s="112"/>
      <c r="H412" s="112"/>
      <c r="I412" s="112"/>
      <c r="J412" s="112"/>
      <c r="K412" s="112"/>
    </row>
    <row r="413" customFormat="false" ht="14.25" hidden="false" customHeight="false" outlineLevel="0" collapsed="false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</row>
    <row r="414" customFormat="false" ht="14.25" hidden="false" customHeight="false" outlineLevel="0" collapsed="false">
      <c r="A414" s="104" t="s">
        <v>426</v>
      </c>
      <c r="B414" s="105" t="s">
        <v>427</v>
      </c>
      <c r="C414" s="105"/>
      <c r="D414" s="105"/>
      <c r="E414" s="105"/>
      <c r="F414" s="105"/>
      <c r="G414" s="105"/>
      <c r="H414" s="105"/>
      <c r="I414" s="105"/>
      <c r="J414" s="105"/>
      <c r="K414" s="106"/>
    </row>
    <row r="415" customFormat="false" ht="14.25" hidden="false" customHeight="false" outlineLevel="0" collapsed="false">
      <c r="A415" s="164" t="str">
        <f aca="false">ORÇAMENTO!A258:K258</f>
        <v>PEÇA 1 </v>
      </c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29"/>
      <c r="M415" s="29"/>
      <c r="N415" s="29"/>
      <c r="O415" s="29"/>
      <c r="P415" s="29"/>
    </row>
    <row r="416" customFormat="false" ht="14.25" hidden="false" customHeight="false" outlineLevel="0" collapsed="false">
      <c r="A416" s="107" t="s">
        <v>429</v>
      </c>
      <c r="B416" s="23" t="s">
        <v>21</v>
      </c>
      <c r="C416" s="23" t="s">
        <v>99</v>
      </c>
      <c r="D416" s="25" t="s">
        <v>100</v>
      </c>
      <c r="E416" s="23" t="s">
        <v>24</v>
      </c>
      <c r="F416" s="23" t="n">
        <f aca="false">E420</f>
        <v>12</v>
      </c>
      <c r="G416" s="138"/>
      <c r="H416" s="138"/>
      <c r="I416" s="138"/>
      <c r="J416" s="138"/>
      <c r="K416" s="138"/>
      <c r="L416" s="29"/>
      <c r="M416" s="29"/>
      <c r="N416" s="29"/>
      <c r="O416" s="29"/>
      <c r="P416" s="29"/>
    </row>
    <row r="417" customFormat="false" ht="14.25" hidden="false" customHeight="false" outlineLevel="0" collapsed="false">
      <c r="A417" s="118" t="s">
        <v>834</v>
      </c>
      <c r="B417" s="118"/>
      <c r="C417" s="118"/>
      <c r="D417" s="135" t="s">
        <v>835</v>
      </c>
      <c r="E417" s="135"/>
      <c r="F417" s="135"/>
      <c r="G417" s="135"/>
      <c r="H417" s="135"/>
      <c r="I417" s="135"/>
      <c r="J417" s="135"/>
      <c r="K417" s="135"/>
    </row>
    <row r="418" customFormat="false" ht="14.25" hidden="false" customHeight="false" outlineLevel="0" collapsed="false">
      <c r="A418" s="120"/>
      <c r="B418" s="120"/>
      <c r="C418" s="120"/>
      <c r="D418" s="121" t="s">
        <v>836</v>
      </c>
      <c r="E418" s="121" t="s">
        <v>837</v>
      </c>
      <c r="F418" s="121" t="s">
        <v>838</v>
      </c>
      <c r="G418" s="121"/>
      <c r="H418" s="122" t="s">
        <v>839</v>
      </c>
      <c r="I418" s="121" t="s">
        <v>840</v>
      </c>
      <c r="J418" s="124"/>
      <c r="K418" s="140"/>
    </row>
    <row r="419" customFormat="false" ht="14.25" hidden="false" customHeight="false" outlineLevel="0" collapsed="false">
      <c r="A419" s="120"/>
      <c r="B419" s="120"/>
      <c r="C419" s="120"/>
      <c r="D419" s="123"/>
      <c r="E419" s="123" t="n">
        <v>3</v>
      </c>
      <c r="F419" s="123" t="n">
        <v>4</v>
      </c>
      <c r="G419" s="123"/>
      <c r="H419" s="124" t="s">
        <v>841</v>
      </c>
      <c r="I419" s="124" t="n">
        <f aca="false">SUM(E419*F419)</f>
        <v>12</v>
      </c>
      <c r="J419" s="124"/>
      <c r="K419" s="140"/>
    </row>
    <row r="420" customFormat="false" ht="14.25" hidden="false" customHeight="false" outlineLevel="0" collapsed="false">
      <c r="A420" s="120"/>
      <c r="B420" s="120"/>
      <c r="C420" s="120"/>
      <c r="D420" s="121" t="s">
        <v>842</v>
      </c>
      <c r="E420" s="125" t="n">
        <f aca="false">SUM(I419:I419)</f>
        <v>12</v>
      </c>
      <c r="F420" s="125"/>
      <c r="G420" s="125"/>
      <c r="H420" s="155"/>
      <c r="I420" s="155"/>
      <c r="J420" s="155"/>
      <c r="K420" s="155"/>
    </row>
    <row r="421" customFormat="false" ht="14.25" hidden="false" customHeight="false" outlineLevel="0" collapsed="false">
      <c r="A421" s="107" t="s">
        <v>430</v>
      </c>
      <c r="B421" s="23" t="s">
        <v>57</v>
      </c>
      <c r="C421" s="23" t="n">
        <v>92800</v>
      </c>
      <c r="D421" s="25" t="s">
        <v>102</v>
      </c>
      <c r="E421" s="23" t="s">
        <v>103</v>
      </c>
      <c r="F421" s="23" t="n">
        <f aca="false">K426</f>
        <v>12.8128</v>
      </c>
      <c r="G421" s="109"/>
      <c r="H421" s="109"/>
      <c r="I421" s="109"/>
      <c r="J421" s="109"/>
      <c r="K421" s="109"/>
      <c r="L421" s="29"/>
      <c r="M421" s="29"/>
      <c r="N421" s="29"/>
      <c r="O421" s="29"/>
      <c r="P421" s="29"/>
    </row>
    <row r="422" customFormat="false" ht="14.25" hidden="false" customHeight="false" outlineLevel="0" collapsed="false">
      <c r="A422" s="150" t="s">
        <v>834</v>
      </c>
      <c r="B422" s="150"/>
      <c r="C422" s="150"/>
      <c r="D422" s="135" t="s">
        <v>843</v>
      </c>
      <c r="E422" s="135"/>
      <c r="F422" s="135"/>
      <c r="G422" s="135"/>
      <c r="H422" s="135"/>
      <c r="I422" s="135"/>
      <c r="J422" s="135"/>
      <c r="K422" s="135"/>
    </row>
    <row r="423" customFormat="false" ht="14.25" hidden="false" customHeight="false" outlineLevel="0" collapsed="false">
      <c r="A423" s="134"/>
      <c r="B423" s="134"/>
      <c r="C423" s="134"/>
      <c r="D423" s="153" t="s">
        <v>908</v>
      </c>
      <c r="E423" s="172" t="n">
        <f aca="false">E420</f>
        <v>12</v>
      </c>
      <c r="F423" s="172"/>
      <c r="G423" s="172"/>
      <c r="H423" s="172"/>
      <c r="I423" s="172"/>
      <c r="J423" s="172"/>
      <c r="K423" s="155"/>
      <c r="L423" s="29"/>
      <c r="M423" s="29"/>
      <c r="N423" s="2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</row>
    <row r="424" customFormat="false" ht="14.25" hidden="false" customHeight="true" outlineLevel="0" collapsed="false">
      <c r="A424" s="134"/>
      <c r="B424" s="134"/>
      <c r="C424" s="134"/>
      <c r="D424" s="173"/>
      <c r="E424" s="153" t="s">
        <v>844</v>
      </c>
      <c r="F424" s="153"/>
      <c r="G424" s="153"/>
      <c r="H424" s="153"/>
      <c r="I424" s="153"/>
      <c r="J424" s="153"/>
      <c r="K424" s="137" t="n">
        <f aca="false">SUM(E423/0.15)</f>
        <v>80</v>
      </c>
      <c r="L424" s="29"/>
      <c r="M424" s="29"/>
      <c r="N424" s="2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</row>
    <row r="425" customFormat="false" ht="14.25" hidden="false" customHeight="true" outlineLevel="0" collapsed="false">
      <c r="A425" s="134"/>
      <c r="B425" s="134"/>
      <c r="C425" s="134"/>
      <c r="D425" s="134"/>
      <c r="E425" s="153" t="s">
        <v>845</v>
      </c>
      <c r="F425" s="153"/>
      <c r="G425" s="153"/>
      <c r="H425" s="153"/>
      <c r="I425" s="153"/>
      <c r="J425" s="153"/>
      <c r="K425" s="137" t="n">
        <f aca="false">SUM(K424*1.04)</f>
        <v>83.2</v>
      </c>
      <c r="L425" s="29"/>
      <c r="M425" s="29"/>
      <c r="N425" s="2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</row>
    <row r="426" customFormat="false" ht="14.25" hidden="false" customHeight="true" outlineLevel="0" collapsed="false">
      <c r="A426" s="134"/>
      <c r="B426" s="134"/>
      <c r="C426" s="134"/>
      <c r="D426" s="134"/>
      <c r="E426" s="153" t="s">
        <v>846</v>
      </c>
      <c r="F426" s="153"/>
      <c r="G426" s="153"/>
      <c r="H426" s="153"/>
      <c r="I426" s="153"/>
      <c r="J426" s="153"/>
      <c r="K426" s="135" t="n">
        <f aca="false">SUM(K425*0.154)</f>
        <v>12.8128</v>
      </c>
      <c r="L426" s="29"/>
      <c r="M426" s="29"/>
      <c r="N426" s="2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</row>
    <row r="427" customFormat="false" ht="14.25" hidden="false" customHeight="false" outlineLevel="0" collapsed="false">
      <c r="A427" s="107" t="s">
        <v>431</v>
      </c>
      <c r="B427" s="23" t="s">
        <v>57</v>
      </c>
      <c r="C427" s="23" t="n">
        <v>92803</v>
      </c>
      <c r="D427" s="25" t="s">
        <v>105</v>
      </c>
      <c r="E427" s="23" t="s">
        <v>103</v>
      </c>
      <c r="F427" s="23" t="n">
        <f aca="false">K430</f>
        <v>29.616</v>
      </c>
      <c r="G427" s="109"/>
      <c r="H427" s="109"/>
      <c r="I427" s="109"/>
      <c r="J427" s="109"/>
      <c r="K427" s="109"/>
      <c r="L427" s="29"/>
      <c r="M427" s="29"/>
      <c r="N427" s="29"/>
      <c r="O427" s="29"/>
      <c r="P427" s="2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customFormat="false" ht="14.25" hidden="false" customHeight="false" outlineLevel="0" collapsed="false">
      <c r="A428" s="134"/>
      <c r="B428" s="134"/>
      <c r="C428" s="134"/>
      <c r="D428" s="134"/>
      <c r="E428" s="131" t="n">
        <f aca="false">E420</f>
        <v>12</v>
      </c>
      <c r="F428" s="131"/>
      <c r="G428" s="131"/>
      <c r="H428" s="131"/>
      <c r="I428" s="131"/>
      <c r="J428" s="131"/>
      <c r="K428" s="130"/>
      <c r="L428" s="29"/>
      <c r="M428" s="29"/>
      <c r="N428" s="2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</row>
    <row r="429" customFormat="false" ht="14.25" hidden="false" customHeight="true" outlineLevel="0" collapsed="false">
      <c r="A429" s="134"/>
      <c r="B429" s="134"/>
      <c r="C429" s="134"/>
      <c r="D429" s="134"/>
      <c r="E429" s="131" t="s">
        <v>847</v>
      </c>
      <c r="F429" s="131"/>
      <c r="G429" s="131"/>
      <c r="H429" s="131"/>
      <c r="I429" s="131"/>
      <c r="J429" s="131"/>
      <c r="K429" s="132" t="n">
        <f aca="false">SUM(E428*4)</f>
        <v>48</v>
      </c>
      <c r="L429" s="29"/>
      <c r="M429" s="29"/>
      <c r="N429" s="2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</row>
    <row r="430" customFormat="false" ht="14.25" hidden="false" customHeight="true" outlineLevel="0" collapsed="false">
      <c r="A430" s="134"/>
      <c r="B430" s="134"/>
      <c r="C430" s="134"/>
      <c r="D430" s="134"/>
      <c r="E430" s="131" t="s">
        <v>848</v>
      </c>
      <c r="F430" s="131"/>
      <c r="G430" s="131"/>
      <c r="H430" s="131"/>
      <c r="I430" s="131"/>
      <c r="J430" s="131"/>
      <c r="K430" s="132" t="n">
        <f aca="false">SUM(K429*0.617)</f>
        <v>29.616</v>
      </c>
      <c r="L430" s="29"/>
      <c r="M430" s="29"/>
      <c r="N430" s="2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</row>
    <row r="431" customFormat="false" ht="14.9" hidden="false" customHeight="false" outlineLevel="0" collapsed="false">
      <c r="A431" s="107" t="s">
        <v>432</v>
      </c>
      <c r="B431" s="23" t="s">
        <v>57</v>
      </c>
      <c r="C431" s="23" t="n">
        <v>96526</v>
      </c>
      <c r="D431" s="25" t="s">
        <v>107</v>
      </c>
      <c r="E431" s="23" t="s">
        <v>49</v>
      </c>
      <c r="F431" s="23" t="n">
        <f aca="false">I434</f>
        <v>2.52</v>
      </c>
      <c r="G431" s="109"/>
      <c r="H431" s="109"/>
      <c r="I431" s="109"/>
      <c r="J431" s="109"/>
      <c r="K431" s="109"/>
      <c r="L431" s="29"/>
      <c r="M431" s="29"/>
      <c r="N431" s="29"/>
      <c r="O431" s="29"/>
      <c r="P431" s="29"/>
    </row>
    <row r="432" customFormat="false" ht="14.25" hidden="false" customHeight="false" outlineLevel="0" collapsed="false">
      <c r="A432" s="107"/>
      <c r="B432" s="107"/>
      <c r="C432" s="107"/>
      <c r="D432" s="107"/>
      <c r="E432" s="107"/>
      <c r="F432" s="107"/>
      <c r="G432" s="107"/>
      <c r="H432" s="107"/>
      <c r="I432" s="135" t="s">
        <v>849</v>
      </c>
      <c r="J432" s="135"/>
      <c r="K432" s="135"/>
    </row>
    <row r="433" customFormat="false" ht="14.25" hidden="false" customHeight="false" outlineLevel="0" collapsed="false">
      <c r="A433" s="174"/>
      <c r="B433" s="174"/>
      <c r="C433" s="174"/>
      <c r="D433" s="174"/>
      <c r="E433" s="174"/>
      <c r="F433" s="174"/>
      <c r="G433" s="174"/>
      <c r="H433" s="123" t="n">
        <v>21</v>
      </c>
      <c r="I433" s="135" t="n">
        <f aca="false">H433*0.3*0.4</f>
        <v>2.52</v>
      </c>
      <c r="J433" s="135"/>
      <c r="K433" s="135"/>
    </row>
    <row r="434" customFormat="false" ht="14.25" hidden="false" customHeight="false" outlineLevel="0" collapsed="false">
      <c r="A434" s="134"/>
      <c r="B434" s="134"/>
      <c r="C434" s="134"/>
      <c r="D434" s="134"/>
      <c r="E434" s="179" t="s">
        <v>851</v>
      </c>
      <c r="F434" s="179"/>
      <c r="G434" s="179"/>
      <c r="H434" s="179"/>
      <c r="I434" s="180" t="n">
        <f aca="false">SUM(I433:K433)</f>
        <v>2.52</v>
      </c>
      <c r="J434" s="180"/>
      <c r="K434" s="180"/>
    </row>
    <row r="435" customFormat="false" ht="14.9" hidden="false" customHeight="false" outlineLevel="0" collapsed="false">
      <c r="A435" s="107" t="s">
        <v>433</v>
      </c>
      <c r="B435" s="23" t="s">
        <v>57</v>
      </c>
      <c r="C435" s="23" t="n">
        <v>101619</v>
      </c>
      <c r="D435" s="25" t="s">
        <v>109</v>
      </c>
      <c r="E435" s="23" t="s">
        <v>49</v>
      </c>
      <c r="F435" s="23" t="n">
        <f aca="false">SUM(E436:E436)</f>
        <v>0.63</v>
      </c>
      <c r="G435" s="27"/>
      <c r="H435" s="27"/>
      <c r="I435" s="28"/>
      <c r="J435" s="27"/>
      <c r="K435" s="138"/>
      <c r="L435" s="29"/>
      <c r="M435" s="29"/>
      <c r="N435" s="29"/>
      <c r="O435" s="29"/>
      <c r="P435" s="29"/>
    </row>
    <row r="436" customFormat="false" ht="14.25" hidden="false" customHeight="false" outlineLevel="0" collapsed="false">
      <c r="A436" s="107"/>
      <c r="B436" s="107"/>
      <c r="C436" s="107"/>
      <c r="D436" s="107"/>
      <c r="E436" s="23" t="n">
        <f aca="false">H433*0.3*0.1</f>
        <v>0.63</v>
      </c>
      <c r="F436" s="23"/>
      <c r="G436" s="27"/>
      <c r="H436" s="27"/>
      <c r="I436" s="28"/>
      <c r="J436" s="27"/>
      <c r="K436" s="138"/>
      <c r="L436" s="29"/>
      <c r="M436" s="29"/>
      <c r="N436" s="29"/>
      <c r="O436" s="29"/>
      <c r="P436" s="29"/>
    </row>
    <row r="437" customFormat="false" ht="14.25" hidden="false" customHeight="false" outlineLevel="0" collapsed="false">
      <c r="A437" s="107" t="s">
        <v>434</v>
      </c>
      <c r="B437" s="23" t="s">
        <v>57</v>
      </c>
      <c r="C437" s="23" t="n">
        <v>92800</v>
      </c>
      <c r="D437" s="25" t="s">
        <v>102</v>
      </c>
      <c r="E437" s="23" t="s">
        <v>103</v>
      </c>
      <c r="F437" s="23" t="n">
        <f aca="false">K441+K1345+K1350</f>
        <v>31.0464</v>
      </c>
      <c r="G437" s="27"/>
      <c r="H437" s="27"/>
      <c r="I437" s="28"/>
      <c r="J437" s="27"/>
      <c r="K437" s="138"/>
      <c r="L437" s="29"/>
      <c r="M437" s="29"/>
      <c r="N437" s="29"/>
      <c r="O437" s="29"/>
      <c r="P437" s="29"/>
    </row>
    <row r="438" customFormat="false" ht="14.25" hidden="false" customHeight="false" outlineLevel="0" collapsed="false">
      <c r="A438" s="157"/>
      <c r="B438" s="157"/>
      <c r="C438" s="157"/>
      <c r="D438" s="131"/>
      <c r="E438" s="131" t="n">
        <f aca="false">SUM(H433:H433)</f>
        <v>21</v>
      </c>
      <c r="F438" s="131"/>
      <c r="G438" s="131"/>
      <c r="H438" s="131"/>
      <c r="I438" s="131"/>
      <c r="J438" s="131"/>
      <c r="K438" s="130"/>
      <c r="L438" s="29"/>
      <c r="M438" s="29"/>
      <c r="N438" s="2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</row>
    <row r="439" customFormat="false" ht="14.25" hidden="false" customHeight="true" outlineLevel="0" collapsed="false">
      <c r="A439" s="148"/>
      <c r="B439" s="148"/>
      <c r="C439" s="148"/>
      <c r="D439" s="141"/>
      <c r="E439" s="131" t="s">
        <v>852</v>
      </c>
      <c r="F439" s="131"/>
      <c r="G439" s="131"/>
      <c r="H439" s="131"/>
      <c r="I439" s="131"/>
      <c r="J439" s="131"/>
      <c r="K439" s="132" t="n">
        <f aca="false">SUM(E438/0.15)</f>
        <v>140</v>
      </c>
      <c r="L439" s="29"/>
      <c r="M439" s="29"/>
      <c r="N439" s="2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</row>
    <row r="440" customFormat="false" ht="14.25" hidden="false" customHeight="true" outlineLevel="0" collapsed="false">
      <c r="A440" s="157"/>
      <c r="B440" s="157"/>
      <c r="C440" s="157"/>
      <c r="D440" s="157"/>
      <c r="E440" s="131" t="s">
        <v>853</v>
      </c>
      <c r="F440" s="131"/>
      <c r="G440" s="131"/>
      <c r="H440" s="131"/>
      <c r="I440" s="131"/>
      <c r="J440" s="131"/>
      <c r="K440" s="132" t="n">
        <f aca="false">SUM(K439*1.44)</f>
        <v>201.6</v>
      </c>
      <c r="L440" s="29"/>
      <c r="M440" s="29"/>
      <c r="N440" s="2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</row>
    <row r="441" customFormat="false" ht="14.25" hidden="false" customHeight="true" outlineLevel="0" collapsed="false">
      <c r="A441" s="157"/>
      <c r="B441" s="157"/>
      <c r="C441" s="157"/>
      <c r="D441" s="157"/>
      <c r="E441" s="131" t="s">
        <v>854</v>
      </c>
      <c r="F441" s="131"/>
      <c r="G441" s="131"/>
      <c r="H441" s="131"/>
      <c r="I441" s="131"/>
      <c r="J441" s="131"/>
      <c r="K441" s="133" t="n">
        <f aca="false">SUM(K440*0.154)</f>
        <v>31.0464</v>
      </c>
      <c r="L441" s="29"/>
      <c r="M441" s="29"/>
      <c r="N441" s="2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</row>
    <row r="442" customFormat="false" ht="14.25" hidden="false" customHeight="false" outlineLevel="0" collapsed="false">
      <c r="A442" s="107" t="s">
        <v>435</v>
      </c>
      <c r="B442" s="23" t="s">
        <v>57</v>
      </c>
      <c r="C442" s="23" t="n">
        <v>92803</v>
      </c>
      <c r="D442" s="25" t="s">
        <v>105</v>
      </c>
      <c r="E442" s="23" t="s">
        <v>103</v>
      </c>
      <c r="F442" s="23" t="n">
        <f aca="false">K445</f>
        <v>51.828</v>
      </c>
      <c r="G442" s="27"/>
      <c r="H442" s="27"/>
      <c r="I442" s="28"/>
      <c r="J442" s="27"/>
      <c r="K442" s="138"/>
      <c r="L442" s="29"/>
      <c r="M442" s="29"/>
      <c r="N442" s="29"/>
      <c r="O442" s="29"/>
      <c r="P442" s="2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customFormat="false" ht="14.25" hidden="false" customHeight="false" outlineLevel="0" collapsed="false">
      <c r="A443" s="157"/>
      <c r="B443" s="157"/>
      <c r="C443" s="157"/>
      <c r="D443" s="131"/>
      <c r="E443" s="131" t="n">
        <f aca="false">E438</f>
        <v>21</v>
      </c>
      <c r="F443" s="131"/>
      <c r="G443" s="131"/>
      <c r="H443" s="131"/>
      <c r="I443" s="131"/>
      <c r="J443" s="131"/>
      <c r="K443" s="130"/>
      <c r="L443" s="29"/>
      <c r="M443" s="29"/>
      <c r="N443" s="2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</row>
    <row r="444" customFormat="false" ht="14.25" hidden="false" customHeight="true" outlineLevel="0" collapsed="false">
      <c r="A444" s="148"/>
      <c r="B444" s="148"/>
      <c r="C444" s="148"/>
      <c r="D444" s="141"/>
      <c r="E444" s="131" t="s">
        <v>855</v>
      </c>
      <c r="F444" s="131"/>
      <c r="G444" s="131"/>
      <c r="H444" s="131"/>
      <c r="I444" s="131"/>
      <c r="J444" s="131"/>
      <c r="K444" s="132" t="n">
        <f aca="false">SUM(E443*4)</f>
        <v>84</v>
      </c>
      <c r="L444" s="29"/>
      <c r="M444" s="29"/>
      <c r="N444" s="2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</row>
    <row r="445" customFormat="false" ht="14.25" hidden="false" customHeight="true" outlineLevel="0" collapsed="false">
      <c r="A445" s="157"/>
      <c r="B445" s="157"/>
      <c r="C445" s="157"/>
      <c r="D445" s="157"/>
      <c r="E445" s="131" t="s">
        <v>856</v>
      </c>
      <c r="F445" s="131"/>
      <c r="G445" s="131"/>
      <c r="H445" s="131"/>
      <c r="I445" s="131"/>
      <c r="J445" s="131"/>
      <c r="K445" s="132" t="n">
        <f aca="false">SUM(K444*0.617)</f>
        <v>51.828</v>
      </c>
      <c r="L445" s="29"/>
      <c r="M445" s="29"/>
      <c r="N445" s="2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</row>
    <row r="446" customFormat="false" ht="14.9" hidden="false" customHeight="false" outlineLevel="0" collapsed="false">
      <c r="A446" s="107" t="s">
        <v>436</v>
      </c>
      <c r="B446" s="23" t="s">
        <v>57</v>
      </c>
      <c r="C446" s="23" t="n">
        <v>96557</v>
      </c>
      <c r="D446" s="25" t="s">
        <v>113</v>
      </c>
      <c r="E446" s="23" t="s">
        <v>49</v>
      </c>
      <c r="F446" s="23" t="n">
        <f aca="false">I434</f>
        <v>2.52</v>
      </c>
      <c r="G446" s="109"/>
      <c r="H446" s="109"/>
      <c r="I446" s="109"/>
      <c r="J446" s="109"/>
      <c r="K446" s="109"/>
      <c r="L446" s="29"/>
      <c r="M446" s="29"/>
      <c r="N446" s="29"/>
      <c r="O446" s="29"/>
      <c r="P446" s="2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customFormat="false" ht="14.25" hidden="false" customHeight="false" outlineLevel="0" collapsed="false">
      <c r="A447" s="107" t="s">
        <v>437</v>
      </c>
      <c r="B447" s="24" t="s">
        <v>64</v>
      </c>
      <c r="C447" s="23" t="n">
        <v>97113</v>
      </c>
      <c r="D447" s="25" t="s">
        <v>65</v>
      </c>
      <c r="E447" s="23" t="s">
        <v>19</v>
      </c>
      <c r="F447" s="26" t="n">
        <v>29</v>
      </c>
      <c r="G447" s="109"/>
      <c r="H447" s="109"/>
      <c r="I447" s="109"/>
      <c r="J447" s="109"/>
      <c r="K447" s="109"/>
      <c r="L447" s="29"/>
      <c r="M447" s="42"/>
      <c r="N447" s="29"/>
      <c r="O447" s="29"/>
      <c r="P447" s="29"/>
    </row>
    <row r="448" customFormat="false" ht="14.25" hidden="false" customHeight="false" outlineLevel="0" collapsed="false">
      <c r="A448" s="107" t="s">
        <v>438</v>
      </c>
      <c r="B448" s="24" t="s">
        <v>57</v>
      </c>
      <c r="C448" s="23" t="s">
        <v>69</v>
      </c>
      <c r="D448" s="25" t="s">
        <v>70</v>
      </c>
      <c r="E448" s="23" t="s">
        <v>19</v>
      </c>
      <c r="F448" s="26" t="n">
        <v>29</v>
      </c>
      <c r="G448" s="109"/>
      <c r="H448" s="109"/>
      <c r="I448" s="109"/>
      <c r="J448" s="109"/>
      <c r="K448" s="109"/>
      <c r="L448" s="29"/>
      <c r="M448" s="29"/>
      <c r="N448" s="29"/>
      <c r="O448" s="29"/>
      <c r="P448" s="29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</row>
    <row r="449" customFormat="false" ht="14.9" hidden="false" customHeight="false" outlineLevel="0" collapsed="false">
      <c r="A449" s="107" t="s">
        <v>439</v>
      </c>
      <c r="B449" s="24" t="s">
        <v>57</v>
      </c>
      <c r="C449" s="23" t="n">
        <v>100324</v>
      </c>
      <c r="D449" s="41" t="s">
        <v>262</v>
      </c>
      <c r="E449" s="23" t="s">
        <v>49</v>
      </c>
      <c r="F449" s="111" t="n">
        <f aca="false">29*0.1</f>
        <v>2.9</v>
      </c>
      <c r="G449" s="109"/>
      <c r="H449" s="109"/>
      <c r="I449" s="109"/>
      <c r="J449" s="109"/>
      <c r="K449" s="109"/>
    </row>
    <row r="450" customFormat="false" ht="14.9" hidden="false" customHeight="false" outlineLevel="0" collapsed="false">
      <c r="A450" s="107" t="s">
        <v>440</v>
      </c>
      <c r="B450" s="24" t="s">
        <v>57</v>
      </c>
      <c r="C450" s="23" t="n">
        <v>101749</v>
      </c>
      <c r="D450" s="41" t="s">
        <v>264</v>
      </c>
      <c r="E450" s="23" t="s">
        <v>19</v>
      </c>
      <c r="F450" s="111" t="n">
        <v>29</v>
      </c>
      <c r="G450" s="109"/>
      <c r="H450" s="109"/>
      <c r="I450" s="109"/>
      <c r="J450" s="109"/>
      <c r="K450" s="109"/>
    </row>
    <row r="451" customFormat="false" ht="14.9" hidden="false" customHeight="false" outlineLevel="0" collapsed="false">
      <c r="A451" s="107" t="s">
        <v>441</v>
      </c>
      <c r="B451" s="24" t="s">
        <v>57</v>
      </c>
      <c r="C451" s="23" t="n">
        <v>94990</v>
      </c>
      <c r="D451" s="41" t="s">
        <v>266</v>
      </c>
      <c r="E451" s="23" t="s">
        <v>49</v>
      </c>
      <c r="F451" s="111" t="n">
        <f aca="false">29*0.15</f>
        <v>4.35</v>
      </c>
      <c r="G451" s="109"/>
      <c r="H451" s="109"/>
      <c r="I451" s="109"/>
      <c r="J451" s="109"/>
      <c r="K451" s="109"/>
    </row>
    <row r="452" customFormat="false" ht="14.25" hidden="false" customHeight="false" outlineLevel="0" collapsed="false">
      <c r="A452" s="107" t="s">
        <v>442</v>
      </c>
      <c r="B452" s="23" t="s">
        <v>21</v>
      </c>
      <c r="C452" s="54" t="s">
        <v>921</v>
      </c>
      <c r="D452" s="25" t="s">
        <v>444</v>
      </c>
      <c r="E452" s="23" t="s">
        <v>19</v>
      </c>
      <c r="F452" s="26" t="n">
        <v>35</v>
      </c>
      <c r="G452" s="109"/>
      <c r="H452" s="109"/>
      <c r="I452" s="109"/>
      <c r="J452" s="109"/>
      <c r="K452" s="109"/>
      <c r="L452" s="29"/>
      <c r="M452" s="29"/>
      <c r="N452" s="29"/>
      <c r="O452" s="29"/>
      <c r="P452" s="2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customFormat="false" ht="21.6" hidden="false" customHeight="false" outlineLevel="0" collapsed="false">
      <c r="A453" s="107" t="s">
        <v>445</v>
      </c>
      <c r="B453" s="23" t="s">
        <v>57</v>
      </c>
      <c r="C453" s="23" t="n">
        <v>92415</v>
      </c>
      <c r="D453" s="25" t="s">
        <v>118</v>
      </c>
      <c r="E453" s="23" t="s">
        <v>19</v>
      </c>
      <c r="F453" s="26" t="n">
        <f aca="false">J457</f>
        <v>4.5</v>
      </c>
      <c r="G453" s="27"/>
      <c r="H453" s="27"/>
      <c r="I453" s="28"/>
      <c r="J453" s="27"/>
      <c r="K453" s="138"/>
      <c r="L453" s="29"/>
      <c r="M453" s="29"/>
      <c r="N453" s="29"/>
      <c r="O453" s="29"/>
      <c r="P453" s="2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customFormat="false" ht="14.25" hidden="false" customHeight="false" outlineLevel="0" collapsed="false">
      <c r="A454" s="118" t="s">
        <v>834</v>
      </c>
      <c r="B454" s="118"/>
      <c r="C454" s="118"/>
      <c r="D454" s="119" t="s">
        <v>843</v>
      </c>
      <c r="E454" s="119"/>
      <c r="F454" s="119"/>
      <c r="G454" s="119"/>
      <c r="H454" s="119"/>
      <c r="I454" s="119"/>
      <c r="J454" s="119"/>
      <c r="K454" s="119"/>
    </row>
    <row r="455" customFormat="false" ht="14.25" hidden="false" customHeight="false" outlineLevel="0" collapsed="false">
      <c r="A455" s="120"/>
      <c r="B455" s="120"/>
      <c r="C455" s="120"/>
      <c r="D455" s="181" t="s">
        <v>836</v>
      </c>
      <c r="E455" s="181" t="s">
        <v>837</v>
      </c>
      <c r="F455" s="181" t="s">
        <v>857</v>
      </c>
      <c r="G455" s="181"/>
      <c r="H455" s="181" t="s">
        <v>859</v>
      </c>
      <c r="I455" s="181"/>
      <c r="J455" s="181" t="s">
        <v>840</v>
      </c>
      <c r="K455" s="182"/>
    </row>
    <row r="456" customFormat="false" ht="14.25" hidden="false" customHeight="false" outlineLevel="0" collapsed="false">
      <c r="A456" s="120"/>
      <c r="B456" s="120"/>
      <c r="C456" s="120"/>
      <c r="D456" s="23"/>
      <c r="E456" s="23" t="n">
        <v>3</v>
      </c>
      <c r="F456" s="23" t="n">
        <v>3</v>
      </c>
      <c r="G456" s="23"/>
      <c r="H456" s="23" t="s">
        <v>861</v>
      </c>
      <c r="I456" s="23"/>
      <c r="J456" s="23" t="n">
        <f aca="false">(F456*0.25)*E456</f>
        <v>2.25</v>
      </c>
      <c r="K456" s="183" t="n">
        <f aca="false">(F456*0.25*0.25)*E456</f>
        <v>0.5625</v>
      </c>
    </row>
    <row r="457" customFormat="false" ht="14.25" hidden="false" customHeight="false" outlineLevel="0" collapsed="false">
      <c r="A457" s="120"/>
      <c r="B457" s="120"/>
      <c r="C457" s="120"/>
      <c r="D457" s="181" t="s">
        <v>840</v>
      </c>
      <c r="E457" s="181"/>
      <c r="F457" s="181"/>
      <c r="G457" s="181"/>
      <c r="H457" s="181"/>
      <c r="I457" s="181"/>
      <c r="J457" s="180" t="n">
        <f aca="false">J456*2</f>
        <v>4.5</v>
      </c>
      <c r="K457" s="180"/>
    </row>
    <row r="458" customFormat="false" ht="14.25" hidden="false" customHeight="false" outlineLevel="0" collapsed="false">
      <c r="A458" s="107" t="s">
        <v>446</v>
      </c>
      <c r="B458" s="23" t="s">
        <v>57</v>
      </c>
      <c r="C458" s="23" t="n">
        <v>92800</v>
      </c>
      <c r="D458" s="25" t="s">
        <v>102</v>
      </c>
      <c r="E458" s="23" t="s">
        <v>103</v>
      </c>
      <c r="F458" s="23" t="n">
        <f aca="false">SUM(K462+K1215+K1220+K1226+K1231+K1236+K1250+K1255+K1260+K1265+K1298+K1303+K1308+K1312+K1317)</f>
        <v>9.6096</v>
      </c>
      <c r="G458" s="27"/>
      <c r="H458" s="27"/>
      <c r="I458" s="28"/>
      <c r="J458" s="27"/>
      <c r="K458" s="138"/>
      <c r="L458" s="29"/>
      <c r="M458" s="29"/>
      <c r="N458" s="29"/>
      <c r="O458" s="29"/>
      <c r="P458" s="29"/>
    </row>
    <row r="459" customFormat="false" ht="14.25" hidden="false" customHeight="false" outlineLevel="0" collapsed="false">
      <c r="A459" s="157"/>
      <c r="B459" s="157"/>
      <c r="C459" s="157"/>
      <c r="D459" s="131" t="s">
        <v>862</v>
      </c>
      <c r="E459" s="131" t="n">
        <f aca="false">SUM(F456*E456)</f>
        <v>9</v>
      </c>
      <c r="F459" s="131"/>
      <c r="G459" s="131"/>
      <c r="H459" s="131"/>
      <c r="I459" s="131"/>
      <c r="J459" s="131"/>
      <c r="K459" s="130"/>
      <c r="L459" s="29"/>
      <c r="M459" s="29"/>
      <c r="N459" s="2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</row>
    <row r="460" customFormat="false" ht="14.25" hidden="false" customHeight="true" outlineLevel="0" collapsed="false">
      <c r="A460" s="148"/>
      <c r="B460" s="148"/>
      <c r="C460" s="148"/>
      <c r="D460" s="141"/>
      <c r="E460" s="131" t="s">
        <v>863</v>
      </c>
      <c r="F460" s="131"/>
      <c r="G460" s="131"/>
      <c r="H460" s="131"/>
      <c r="I460" s="131"/>
      <c r="J460" s="131"/>
      <c r="K460" s="132" t="n">
        <f aca="false">SUM(E459/0.15)</f>
        <v>60</v>
      </c>
      <c r="L460" s="29"/>
      <c r="M460" s="29"/>
      <c r="N460" s="2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</row>
    <row r="461" customFormat="false" ht="14.25" hidden="false" customHeight="true" outlineLevel="0" collapsed="false">
      <c r="A461" s="157"/>
      <c r="B461" s="157"/>
      <c r="C461" s="157"/>
      <c r="D461" s="157"/>
      <c r="E461" s="131" t="s">
        <v>864</v>
      </c>
      <c r="F461" s="131"/>
      <c r="G461" s="131"/>
      <c r="H461" s="131"/>
      <c r="I461" s="131"/>
      <c r="J461" s="131"/>
      <c r="K461" s="132" t="n">
        <f aca="false">SUM(K460*1.04)</f>
        <v>62.4</v>
      </c>
      <c r="L461" s="29"/>
      <c r="M461" s="29"/>
      <c r="N461" s="2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</row>
    <row r="462" customFormat="false" ht="14.25" hidden="false" customHeight="true" outlineLevel="0" collapsed="false">
      <c r="A462" s="157"/>
      <c r="B462" s="157"/>
      <c r="C462" s="157"/>
      <c r="D462" s="157"/>
      <c r="E462" s="131" t="s">
        <v>865</v>
      </c>
      <c r="F462" s="131"/>
      <c r="G462" s="131"/>
      <c r="H462" s="131"/>
      <c r="I462" s="131"/>
      <c r="J462" s="131"/>
      <c r="K462" s="133" t="n">
        <f aca="false">SUM(K461*0.154)</f>
        <v>9.6096</v>
      </c>
      <c r="L462" s="29"/>
      <c r="M462" s="29"/>
      <c r="N462" s="2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</row>
    <row r="463" customFormat="false" ht="14.25" hidden="false" customHeight="false" outlineLevel="0" collapsed="false">
      <c r="A463" s="107" t="s">
        <v>447</v>
      </c>
      <c r="B463" s="23" t="s">
        <v>57</v>
      </c>
      <c r="C463" s="23" t="n">
        <v>92803</v>
      </c>
      <c r="D463" s="25" t="s">
        <v>105</v>
      </c>
      <c r="E463" s="23" t="s">
        <v>103</v>
      </c>
      <c r="F463" s="26" t="n">
        <f aca="false">SUM(K466+K1214+K1218+K1223+K1227+K1231+K1235+K1248+K1252+K1256+K1260+K1264+K1296+K1300+K1304)</f>
        <v>22.212</v>
      </c>
      <c r="G463" s="27"/>
      <c r="H463" s="27"/>
      <c r="I463" s="28"/>
      <c r="J463" s="27"/>
      <c r="K463" s="138"/>
      <c r="L463" s="29"/>
      <c r="M463" s="29"/>
      <c r="N463" s="29"/>
      <c r="O463" s="29"/>
      <c r="P463" s="2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customFormat="false" ht="14.25" hidden="false" customHeight="false" outlineLevel="0" collapsed="false">
      <c r="A464" s="157"/>
      <c r="B464" s="157"/>
      <c r="C464" s="157"/>
      <c r="D464" s="131" t="str">
        <f aca="false">D459</f>
        <v>PILARES DE 25 CM</v>
      </c>
      <c r="E464" s="131" t="n">
        <f aca="false">E459</f>
        <v>9</v>
      </c>
      <c r="F464" s="131"/>
      <c r="G464" s="131"/>
      <c r="H464" s="131"/>
      <c r="I464" s="131"/>
      <c r="J464" s="131"/>
      <c r="K464" s="130"/>
      <c r="L464" s="29"/>
      <c r="M464" s="29"/>
      <c r="N464" s="2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</row>
    <row r="465" customFormat="false" ht="14.25" hidden="false" customHeight="true" outlineLevel="0" collapsed="false">
      <c r="A465" s="148"/>
      <c r="B465" s="148"/>
      <c r="C465" s="148"/>
      <c r="D465" s="141"/>
      <c r="E465" s="131" t="s">
        <v>866</v>
      </c>
      <c r="F465" s="131"/>
      <c r="G465" s="131"/>
      <c r="H465" s="131"/>
      <c r="I465" s="131"/>
      <c r="J465" s="131"/>
      <c r="K465" s="132" t="n">
        <f aca="false">SUM(E464*4)</f>
        <v>36</v>
      </c>
      <c r="L465" s="29"/>
      <c r="M465" s="29"/>
      <c r="N465" s="2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</row>
    <row r="466" customFormat="false" ht="14.25" hidden="false" customHeight="true" outlineLevel="0" collapsed="false">
      <c r="A466" s="157"/>
      <c r="B466" s="157"/>
      <c r="C466" s="157"/>
      <c r="D466" s="157"/>
      <c r="E466" s="131" t="s">
        <v>867</v>
      </c>
      <c r="F466" s="131"/>
      <c r="G466" s="131"/>
      <c r="H466" s="131"/>
      <c r="I466" s="131"/>
      <c r="J466" s="131"/>
      <c r="K466" s="132" t="n">
        <f aca="false">SUM(K465*0.617)</f>
        <v>22.212</v>
      </c>
      <c r="L466" s="29"/>
      <c r="M466" s="29"/>
      <c r="N466" s="2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</row>
    <row r="467" customFormat="false" ht="14.9" hidden="false" customHeight="false" outlineLevel="0" collapsed="false">
      <c r="A467" s="107" t="s">
        <v>448</v>
      </c>
      <c r="B467" s="23" t="s">
        <v>57</v>
      </c>
      <c r="C467" s="23" t="n">
        <v>103672</v>
      </c>
      <c r="D467" s="25" t="s">
        <v>122</v>
      </c>
      <c r="E467" s="23" t="s">
        <v>49</v>
      </c>
      <c r="F467" s="26" t="n">
        <f aca="false">SUM(K456:K456)</f>
        <v>0.5625</v>
      </c>
      <c r="G467" s="27"/>
      <c r="H467" s="27"/>
      <c r="I467" s="28"/>
      <c r="J467" s="27"/>
      <c r="K467" s="138"/>
      <c r="L467" s="29"/>
      <c r="M467" s="29"/>
      <c r="N467" s="29"/>
      <c r="O467" s="29"/>
      <c r="P467" s="29"/>
    </row>
    <row r="468" customFormat="false" ht="14.25" hidden="false" customHeight="false" outlineLevel="0" collapsed="false">
      <c r="A468" s="157"/>
      <c r="B468" s="184"/>
      <c r="C468" s="184"/>
      <c r="D468" s="185"/>
      <c r="E468" s="186" t="n">
        <f aca="false">SUM(E459*0.25*0.25)</f>
        <v>0.5625</v>
      </c>
      <c r="F468" s="186"/>
      <c r="G468" s="186"/>
      <c r="H468" s="186"/>
      <c r="I468" s="186"/>
      <c r="J468" s="186"/>
      <c r="K468" s="186"/>
      <c r="L468" s="29"/>
      <c r="M468" s="29"/>
      <c r="N468" s="29"/>
      <c r="O468" s="29"/>
      <c r="P468" s="29"/>
    </row>
    <row r="469" customFormat="false" ht="14.25" hidden="false" customHeight="false" outlineLevel="0" collapsed="false">
      <c r="A469" s="107" t="s">
        <v>449</v>
      </c>
      <c r="B469" s="30" t="s">
        <v>21</v>
      </c>
      <c r="C469" s="23" t="s">
        <v>450</v>
      </c>
      <c r="D469" s="41" t="s">
        <v>451</v>
      </c>
      <c r="E469" s="23" t="s">
        <v>19</v>
      </c>
      <c r="F469" s="111" t="n">
        <f aca="false">F473</f>
        <v>5.149</v>
      </c>
      <c r="G469" s="112"/>
      <c r="H469" s="112"/>
      <c r="I469" s="112"/>
      <c r="J469" s="112"/>
      <c r="K469" s="112"/>
    </row>
    <row r="470" customFormat="false" ht="14.25" hidden="false" customHeight="false" outlineLevel="0" collapsed="false">
      <c r="A470" s="107"/>
      <c r="B470" s="23"/>
      <c r="C470" s="23"/>
      <c r="D470" s="23" t="s">
        <v>922</v>
      </c>
      <c r="E470" s="23"/>
      <c r="F470" s="111" t="n">
        <f aca="false">SUM(0.04*3)*3</f>
        <v>0.36</v>
      </c>
      <c r="G470" s="187"/>
      <c r="H470" s="37"/>
      <c r="I470" s="37"/>
      <c r="J470" s="37"/>
      <c r="K470" s="112"/>
    </row>
    <row r="471" customFormat="false" ht="14.25" hidden="false" customHeight="false" outlineLevel="0" collapsed="false">
      <c r="A471" s="120"/>
      <c r="B471" s="188"/>
      <c r="C471" s="188"/>
      <c r="D471" s="179" t="s">
        <v>923</v>
      </c>
      <c r="E471" s="179"/>
      <c r="F471" s="189" t="n">
        <f aca="false">22.26*0.15</f>
        <v>3.339</v>
      </c>
      <c r="G471" s="188"/>
      <c r="H471" s="188"/>
      <c r="I471" s="188"/>
      <c r="J471" s="188"/>
      <c r="K471" s="126"/>
    </row>
    <row r="472" customFormat="false" ht="14.25" hidden="false" customHeight="false" outlineLevel="0" collapsed="false">
      <c r="A472" s="120"/>
      <c r="B472" s="188"/>
      <c r="C472" s="188"/>
      <c r="D472" s="179" t="s">
        <v>924</v>
      </c>
      <c r="E472" s="179"/>
      <c r="F472" s="189" t="n">
        <f aca="false">29*0.05</f>
        <v>1.45</v>
      </c>
      <c r="G472" s="188"/>
      <c r="H472" s="188"/>
      <c r="I472" s="188"/>
      <c r="J472" s="188"/>
      <c r="K472" s="126"/>
    </row>
    <row r="473" customFormat="false" ht="14.25" hidden="false" customHeight="false" outlineLevel="0" collapsed="false">
      <c r="A473" s="120"/>
      <c r="B473" s="188"/>
      <c r="C473" s="188"/>
      <c r="D473" s="179" t="s">
        <v>851</v>
      </c>
      <c r="E473" s="179"/>
      <c r="F473" s="190" t="n">
        <f aca="false">SUM(F470:F472)</f>
        <v>5.149</v>
      </c>
      <c r="G473" s="188"/>
      <c r="H473" s="188"/>
      <c r="I473" s="188"/>
      <c r="J473" s="188"/>
      <c r="K473" s="126"/>
    </row>
    <row r="474" customFormat="false" ht="14.25" hidden="false" customHeight="false" outlineLevel="0" collapsed="false">
      <c r="A474" s="164" t="str">
        <f aca="false">ORÇAMENTO!A278:K278</f>
        <v>PEÇA 2</v>
      </c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29"/>
      <c r="M474" s="29"/>
      <c r="N474" s="29"/>
      <c r="O474" s="29"/>
      <c r="P474" s="29"/>
    </row>
    <row r="475" customFormat="false" ht="14.25" hidden="false" customHeight="false" outlineLevel="0" collapsed="false">
      <c r="A475" s="107" t="s">
        <v>453</v>
      </c>
      <c r="B475" s="23" t="s">
        <v>21</v>
      </c>
      <c r="C475" s="23" t="s">
        <v>99</v>
      </c>
      <c r="D475" s="25" t="s">
        <v>100</v>
      </c>
      <c r="E475" s="23" t="s">
        <v>24</v>
      </c>
      <c r="F475" s="23" t="n">
        <f aca="false">E479</f>
        <v>12</v>
      </c>
      <c r="G475" s="27"/>
      <c r="H475" s="27"/>
      <c r="I475" s="28"/>
      <c r="J475" s="27"/>
      <c r="K475" s="138"/>
      <c r="L475" s="29"/>
      <c r="M475" s="29"/>
      <c r="N475" s="29"/>
      <c r="O475" s="29"/>
      <c r="P475" s="29"/>
    </row>
    <row r="476" customFormat="false" ht="14.25" hidden="false" customHeight="false" outlineLevel="0" collapsed="false">
      <c r="A476" s="118" t="s">
        <v>834</v>
      </c>
      <c r="B476" s="118"/>
      <c r="C476" s="118"/>
      <c r="D476" s="119" t="s">
        <v>835</v>
      </c>
      <c r="E476" s="119"/>
      <c r="F476" s="119"/>
      <c r="G476" s="119"/>
      <c r="H476" s="119"/>
      <c r="I476" s="119"/>
      <c r="J476" s="119"/>
      <c r="K476" s="119"/>
    </row>
    <row r="477" customFormat="false" ht="14.25" hidden="false" customHeight="false" outlineLevel="0" collapsed="false">
      <c r="A477" s="120"/>
      <c r="B477" s="120"/>
      <c r="C477" s="120"/>
      <c r="D477" s="181" t="s">
        <v>836</v>
      </c>
      <c r="E477" s="181" t="s">
        <v>837</v>
      </c>
      <c r="F477" s="181" t="s">
        <v>838</v>
      </c>
      <c r="G477" s="181"/>
      <c r="H477" s="191" t="s">
        <v>839</v>
      </c>
      <c r="I477" s="181" t="s">
        <v>840</v>
      </c>
      <c r="J477" s="192"/>
      <c r="K477" s="183"/>
    </row>
    <row r="478" customFormat="false" ht="14.25" hidden="false" customHeight="false" outlineLevel="0" collapsed="false">
      <c r="A478" s="120"/>
      <c r="B478" s="120"/>
      <c r="C478" s="120"/>
      <c r="D478" s="23"/>
      <c r="E478" s="23" t="n">
        <v>3</v>
      </c>
      <c r="F478" s="23" t="n">
        <v>4</v>
      </c>
      <c r="G478" s="23"/>
      <c r="H478" s="192" t="s">
        <v>841</v>
      </c>
      <c r="I478" s="192" t="n">
        <f aca="false">SUM(E478*F478)</f>
        <v>12</v>
      </c>
      <c r="J478" s="192"/>
      <c r="K478" s="183"/>
    </row>
    <row r="479" customFormat="false" ht="14.25" hidden="false" customHeight="false" outlineLevel="0" collapsed="false">
      <c r="A479" s="120"/>
      <c r="B479" s="120"/>
      <c r="C479" s="120"/>
      <c r="D479" s="181" t="s">
        <v>842</v>
      </c>
      <c r="E479" s="193" t="n">
        <f aca="false">SUM(I478:I478)</f>
        <v>12</v>
      </c>
      <c r="F479" s="193"/>
      <c r="G479" s="193"/>
      <c r="H479" s="126"/>
      <c r="I479" s="126"/>
      <c r="J479" s="126"/>
      <c r="K479" s="126"/>
    </row>
    <row r="480" customFormat="false" ht="14.25" hidden="false" customHeight="false" outlineLevel="0" collapsed="false">
      <c r="A480" s="107" t="s">
        <v>454</v>
      </c>
      <c r="B480" s="23" t="s">
        <v>57</v>
      </c>
      <c r="C480" s="23" t="n">
        <v>92800</v>
      </c>
      <c r="D480" s="25" t="s">
        <v>102</v>
      </c>
      <c r="E480" s="23" t="s">
        <v>103</v>
      </c>
      <c r="F480" s="23" t="n">
        <f aca="false">K485</f>
        <v>12.8128</v>
      </c>
      <c r="G480" s="27"/>
      <c r="H480" s="27"/>
      <c r="I480" s="28"/>
      <c r="J480" s="27"/>
      <c r="K480" s="138"/>
      <c r="L480" s="29"/>
      <c r="M480" s="29"/>
      <c r="N480" s="29"/>
      <c r="O480" s="29"/>
      <c r="P480" s="29"/>
    </row>
    <row r="481" customFormat="false" ht="14.25" hidden="false" customHeight="false" outlineLevel="0" collapsed="false">
      <c r="A481" s="127" t="s">
        <v>834</v>
      </c>
      <c r="B481" s="127"/>
      <c r="C481" s="127"/>
      <c r="D481" s="128" t="s">
        <v>843</v>
      </c>
      <c r="E481" s="128"/>
      <c r="F481" s="128"/>
      <c r="G481" s="128"/>
      <c r="H481" s="128"/>
      <c r="I481" s="128"/>
      <c r="J481" s="128"/>
      <c r="K481" s="128"/>
    </row>
    <row r="482" customFormat="false" ht="14.25" hidden="false" customHeight="false" outlineLevel="0" collapsed="false">
      <c r="A482" s="157"/>
      <c r="B482" s="157"/>
      <c r="C482" s="157"/>
      <c r="D482" s="131" t="s">
        <v>908</v>
      </c>
      <c r="E482" s="129" t="n">
        <f aca="false">D483</f>
        <v>12</v>
      </c>
      <c r="F482" s="129"/>
      <c r="G482" s="129"/>
      <c r="H482" s="129"/>
      <c r="I482" s="129"/>
      <c r="J482" s="129"/>
      <c r="K482" s="130"/>
      <c r="L482" s="29"/>
      <c r="M482" s="29"/>
      <c r="N482" s="2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</row>
    <row r="483" customFormat="false" ht="14.25" hidden="false" customHeight="true" outlineLevel="0" collapsed="false">
      <c r="A483" s="148"/>
      <c r="B483" s="148"/>
      <c r="C483" s="148"/>
      <c r="D483" s="194" t="n">
        <f aca="false">E479</f>
        <v>12</v>
      </c>
      <c r="E483" s="131" t="s">
        <v>844</v>
      </c>
      <c r="F483" s="131"/>
      <c r="G483" s="131"/>
      <c r="H483" s="131"/>
      <c r="I483" s="131"/>
      <c r="J483" s="131"/>
      <c r="K483" s="132" t="n">
        <f aca="false">SUM(E482/0.15)</f>
        <v>80</v>
      </c>
      <c r="L483" s="29"/>
      <c r="M483" s="29"/>
      <c r="N483" s="2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</row>
    <row r="484" customFormat="false" ht="14.25" hidden="false" customHeight="true" outlineLevel="0" collapsed="false">
      <c r="A484" s="157"/>
      <c r="B484" s="157"/>
      <c r="C484" s="157"/>
      <c r="D484" s="157"/>
      <c r="E484" s="131" t="s">
        <v>845</v>
      </c>
      <c r="F484" s="131"/>
      <c r="G484" s="131"/>
      <c r="H484" s="131"/>
      <c r="I484" s="131"/>
      <c r="J484" s="131"/>
      <c r="K484" s="132" t="n">
        <f aca="false">SUM(K483*1.04)</f>
        <v>83.2</v>
      </c>
      <c r="L484" s="29"/>
      <c r="M484" s="29"/>
      <c r="N484" s="2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</row>
    <row r="485" customFormat="false" ht="14.25" hidden="false" customHeight="true" outlineLevel="0" collapsed="false">
      <c r="A485" s="157"/>
      <c r="B485" s="157"/>
      <c r="C485" s="157"/>
      <c r="D485" s="157"/>
      <c r="E485" s="131" t="s">
        <v>846</v>
      </c>
      <c r="F485" s="131"/>
      <c r="G485" s="131"/>
      <c r="H485" s="131"/>
      <c r="I485" s="131"/>
      <c r="J485" s="131"/>
      <c r="K485" s="133" t="n">
        <f aca="false">SUM(K484*0.154)</f>
        <v>12.8128</v>
      </c>
      <c r="L485" s="29"/>
      <c r="M485" s="29"/>
      <c r="N485" s="2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</row>
    <row r="486" customFormat="false" ht="14.25" hidden="false" customHeight="false" outlineLevel="0" collapsed="false">
      <c r="A486" s="107" t="s">
        <v>455</v>
      </c>
      <c r="B486" s="23" t="s">
        <v>57</v>
      </c>
      <c r="C486" s="23" t="n">
        <v>92803</v>
      </c>
      <c r="D486" s="25" t="s">
        <v>105</v>
      </c>
      <c r="E486" s="23" t="s">
        <v>103</v>
      </c>
      <c r="F486" s="23" t="n">
        <f aca="false">K489</f>
        <v>29.616</v>
      </c>
      <c r="G486" s="27"/>
      <c r="H486" s="27"/>
      <c r="I486" s="28"/>
      <c r="J486" s="27"/>
      <c r="K486" s="138"/>
      <c r="L486" s="29"/>
      <c r="M486" s="29"/>
      <c r="N486" s="29"/>
      <c r="O486" s="29"/>
      <c r="P486" s="2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customFormat="false" ht="14.25" hidden="false" customHeight="false" outlineLevel="0" collapsed="false">
      <c r="A487" s="157"/>
      <c r="B487" s="157"/>
      <c r="C487" s="157"/>
      <c r="D487" s="131"/>
      <c r="E487" s="131" t="n">
        <f aca="false">D488</f>
        <v>12</v>
      </c>
      <c r="F487" s="131"/>
      <c r="G487" s="131"/>
      <c r="H487" s="131"/>
      <c r="I487" s="131"/>
      <c r="J487" s="131"/>
      <c r="K487" s="130"/>
      <c r="L487" s="29"/>
      <c r="M487" s="29"/>
      <c r="N487" s="2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</row>
    <row r="488" customFormat="false" ht="14.25" hidden="false" customHeight="true" outlineLevel="0" collapsed="false">
      <c r="A488" s="148"/>
      <c r="B488" s="148"/>
      <c r="C488" s="148"/>
      <c r="D488" s="141" t="n">
        <f aca="false">E479</f>
        <v>12</v>
      </c>
      <c r="E488" s="131" t="s">
        <v>847</v>
      </c>
      <c r="F488" s="131"/>
      <c r="G488" s="131"/>
      <c r="H488" s="131"/>
      <c r="I488" s="131"/>
      <c r="J488" s="131"/>
      <c r="K488" s="132" t="n">
        <f aca="false">SUM(E487*4)</f>
        <v>48</v>
      </c>
      <c r="L488" s="29"/>
      <c r="M488" s="29"/>
      <c r="N488" s="2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</row>
    <row r="489" customFormat="false" ht="14.25" hidden="false" customHeight="true" outlineLevel="0" collapsed="false">
      <c r="A489" s="157"/>
      <c r="B489" s="157"/>
      <c r="C489" s="157"/>
      <c r="D489" s="157"/>
      <c r="E489" s="131" t="s">
        <v>848</v>
      </c>
      <c r="F489" s="131"/>
      <c r="G489" s="131"/>
      <c r="H489" s="131"/>
      <c r="I489" s="131"/>
      <c r="J489" s="131"/>
      <c r="K489" s="132" t="n">
        <f aca="false">SUM(K488*0.617)</f>
        <v>29.616</v>
      </c>
      <c r="L489" s="29"/>
      <c r="M489" s="29"/>
      <c r="N489" s="2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</row>
    <row r="490" customFormat="false" ht="14.9" hidden="false" customHeight="false" outlineLevel="0" collapsed="false">
      <c r="A490" s="107" t="s">
        <v>456</v>
      </c>
      <c r="B490" s="23" t="s">
        <v>57</v>
      </c>
      <c r="C490" s="23" t="n">
        <v>96526</v>
      </c>
      <c r="D490" s="25" t="s">
        <v>107</v>
      </c>
      <c r="E490" s="23" t="s">
        <v>49</v>
      </c>
      <c r="F490" s="23" t="n">
        <f aca="false">I493</f>
        <v>1.92</v>
      </c>
      <c r="G490" s="27"/>
      <c r="H490" s="27"/>
      <c r="I490" s="28"/>
      <c r="J490" s="27"/>
      <c r="K490" s="138"/>
      <c r="L490" s="29"/>
      <c r="M490" s="29"/>
      <c r="N490" s="29"/>
      <c r="O490" s="29"/>
      <c r="P490" s="29"/>
    </row>
    <row r="491" customFormat="false" ht="14.25" hidden="false" customHeight="false" outlineLevel="0" collapsed="false">
      <c r="A491" s="107"/>
      <c r="B491" s="107"/>
      <c r="C491" s="107"/>
      <c r="D491" s="107"/>
      <c r="E491" s="107"/>
      <c r="F491" s="107"/>
      <c r="G491" s="107"/>
      <c r="H491" s="107"/>
      <c r="I491" s="119" t="s">
        <v>849</v>
      </c>
      <c r="J491" s="119"/>
      <c r="K491" s="119"/>
    </row>
    <row r="492" customFormat="false" ht="14.25" hidden="false" customHeight="false" outlineLevel="0" collapsed="false">
      <c r="A492" s="174"/>
      <c r="B492" s="174"/>
      <c r="C492" s="174"/>
      <c r="D492" s="174"/>
      <c r="E492" s="23"/>
      <c r="F492" s="23"/>
      <c r="G492" s="23"/>
      <c r="H492" s="23" t="n">
        <v>16</v>
      </c>
      <c r="I492" s="119" t="n">
        <f aca="false">H492*0.3*0.4</f>
        <v>1.92</v>
      </c>
      <c r="J492" s="119"/>
      <c r="K492" s="119"/>
    </row>
    <row r="493" customFormat="false" ht="14.25" hidden="false" customHeight="false" outlineLevel="0" collapsed="false">
      <c r="A493" s="120"/>
      <c r="B493" s="188"/>
      <c r="C493" s="188"/>
      <c r="D493" s="188"/>
      <c r="E493" s="179" t="s">
        <v>851</v>
      </c>
      <c r="F493" s="179"/>
      <c r="G493" s="179"/>
      <c r="H493" s="179"/>
      <c r="I493" s="180" t="n">
        <f aca="false">SUM(I492:K492)</f>
        <v>1.92</v>
      </c>
      <c r="J493" s="180"/>
      <c r="K493" s="180"/>
    </row>
    <row r="494" customFormat="false" ht="14.9" hidden="false" customHeight="false" outlineLevel="0" collapsed="false">
      <c r="A494" s="107" t="s">
        <v>457</v>
      </c>
      <c r="B494" s="23" t="s">
        <v>57</v>
      </c>
      <c r="C494" s="23" t="n">
        <v>101619</v>
      </c>
      <c r="D494" s="25" t="s">
        <v>109</v>
      </c>
      <c r="E494" s="23" t="s">
        <v>49</v>
      </c>
      <c r="F494" s="23" t="n">
        <f aca="false">SUM(E495:E495)</f>
        <v>0.48</v>
      </c>
      <c r="G494" s="27"/>
      <c r="H494" s="27"/>
      <c r="I494" s="28"/>
      <c r="J494" s="27"/>
      <c r="K494" s="138"/>
      <c r="L494" s="29"/>
      <c r="M494" s="29"/>
      <c r="N494" s="29"/>
      <c r="O494" s="29"/>
      <c r="P494" s="29"/>
    </row>
    <row r="495" customFormat="false" ht="14.25" hidden="false" customHeight="false" outlineLevel="0" collapsed="false">
      <c r="A495" s="107"/>
      <c r="B495" s="107"/>
      <c r="C495" s="107"/>
      <c r="D495" s="107"/>
      <c r="E495" s="23" t="n">
        <f aca="false">H492*0.3*0.1</f>
        <v>0.48</v>
      </c>
      <c r="F495" s="23"/>
      <c r="G495" s="27"/>
      <c r="H495" s="27"/>
      <c r="I495" s="28"/>
      <c r="J495" s="27"/>
      <c r="K495" s="138"/>
      <c r="L495" s="29"/>
      <c r="M495" s="29"/>
      <c r="N495" s="29"/>
      <c r="O495" s="29"/>
      <c r="P495" s="29"/>
    </row>
    <row r="496" customFormat="false" ht="14.25" hidden="false" customHeight="false" outlineLevel="0" collapsed="false">
      <c r="A496" s="107" t="s">
        <v>458</v>
      </c>
      <c r="B496" s="23" t="s">
        <v>57</v>
      </c>
      <c r="C496" s="23" t="n">
        <v>92800</v>
      </c>
      <c r="D496" s="25" t="s">
        <v>102</v>
      </c>
      <c r="E496" s="23" t="s">
        <v>103</v>
      </c>
      <c r="F496" s="23" t="n">
        <f aca="false">K500+K1405+K1410</f>
        <v>23.6544</v>
      </c>
      <c r="G496" s="27"/>
      <c r="H496" s="27"/>
      <c r="I496" s="28"/>
      <c r="J496" s="27"/>
      <c r="K496" s="138"/>
      <c r="L496" s="29"/>
      <c r="M496" s="29"/>
      <c r="N496" s="29"/>
      <c r="O496" s="29"/>
      <c r="P496" s="29"/>
    </row>
    <row r="497" customFormat="false" ht="14.25" hidden="false" customHeight="false" outlineLevel="0" collapsed="false">
      <c r="A497" s="157"/>
      <c r="B497" s="157"/>
      <c r="C497" s="157"/>
      <c r="D497" s="131"/>
      <c r="E497" s="131" t="n">
        <f aca="false">SUM(H492:H492)</f>
        <v>16</v>
      </c>
      <c r="F497" s="131"/>
      <c r="G497" s="131"/>
      <c r="H497" s="131"/>
      <c r="I497" s="131"/>
      <c r="J497" s="131"/>
      <c r="K497" s="130"/>
      <c r="L497" s="29"/>
      <c r="M497" s="29"/>
      <c r="N497" s="2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</row>
    <row r="498" customFormat="false" ht="14.25" hidden="false" customHeight="true" outlineLevel="0" collapsed="false">
      <c r="A498" s="148"/>
      <c r="B498" s="148"/>
      <c r="C498" s="148"/>
      <c r="D498" s="141"/>
      <c r="E498" s="131" t="s">
        <v>852</v>
      </c>
      <c r="F498" s="131"/>
      <c r="G498" s="131"/>
      <c r="H498" s="131"/>
      <c r="I498" s="131"/>
      <c r="J498" s="131"/>
      <c r="K498" s="132" t="n">
        <f aca="false">SUM(E497/0.15)</f>
        <v>106.666666666667</v>
      </c>
      <c r="L498" s="29"/>
      <c r="M498" s="29"/>
      <c r="N498" s="2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</row>
    <row r="499" customFormat="false" ht="14.25" hidden="false" customHeight="true" outlineLevel="0" collapsed="false">
      <c r="A499" s="157"/>
      <c r="B499" s="157"/>
      <c r="C499" s="157"/>
      <c r="D499" s="157"/>
      <c r="E499" s="131" t="s">
        <v>853</v>
      </c>
      <c r="F499" s="131"/>
      <c r="G499" s="131"/>
      <c r="H499" s="131"/>
      <c r="I499" s="131"/>
      <c r="J499" s="131"/>
      <c r="K499" s="132" t="n">
        <f aca="false">SUM(K498*1.44)</f>
        <v>153.6</v>
      </c>
      <c r="L499" s="29"/>
      <c r="M499" s="29"/>
      <c r="N499" s="2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</row>
    <row r="500" customFormat="false" ht="14.25" hidden="false" customHeight="true" outlineLevel="0" collapsed="false">
      <c r="A500" s="157"/>
      <c r="B500" s="157"/>
      <c r="C500" s="157"/>
      <c r="D500" s="157"/>
      <c r="E500" s="131" t="s">
        <v>854</v>
      </c>
      <c r="F500" s="131"/>
      <c r="G500" s="131"/>
      <c r="H500" s="131"/>
      <c r="I500" s="131"/>
      <c r="J500" s="131"/>
      <c r="K500" s="133" t="n">
        <f aca="false">SUM(K499*0.154)</f>
        <v>23.6544</v>
      </c>
      <c r="L500" s="29"/>
      <c r="M500" s="29"/>
      <c r="N500" s="2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</row>
    <row r="501" customFormat="false" ht="14.25" hidden="false" customHeight="false" outlineLevel="0" collapsed="false">
      <c r="A501" s="107" t="s">
        <v>459</v>
      </c>
      <c r="B501" s="23" t="s">
        <v>57</v>
      </c>
      <c r="C501" s="23" t="n">
        <v>92803</v>
      </c>
      <c r="D501" s="25" t="s">
        <v>105</v>
      </c>
      <c r="E501" s="23" t="s">
        <v>103</v>
      </c>
      <c r="F501" s="23" t="n">
        <f aca="false">K504</f>
        <v>39.488</v>
      </c>
      <c r="G501" s="27"/>
      <c r="H501" s="27"/>
      <c r="I501" s="28"/>
      <c r="J501" s="27"/>
      <c r="K501" s="138"/>
      <c r="L501" s="29"/>
      <c r="M501" s="29"/>
      <c r="N501" s="29"/>
      <c r="O501" s="29"/>
      <c r="P501" s="2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customFormat="false" ht="14.25" hidden="false" customHeight="false" outlineLevel="0" collapsed="false">
      <c r="A502" s="157"/>
      <c r="B502" s="157"/>
      <c r="C502" s="157"/>
      <c r="D502" s="131"/>
      <c r="E502" s="131" t="n">
        <f aca="false">E497</f>
        <v>16</v>
      </c>
      <c r="F502" s="131"/>
      <c r="G502" s="131"/>
      <c r="H502" s="131"/>
      <c r="I502" s="131"/>
      <c r="J502" s="131"/>
      <c r="K502" s="130"/>
      <c r="L502" s="29"/>
      <c r="M502" s="29"/>
      <c r="N502" s="2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</row>
    <row r="503" customFormat="false" ht="14.25" hidden="false" customHeight="true" outlineLevel="0" collapsed="false">
      <c r="A503" s="148"/>
      <c r="B503" s="148"/>
      <c r="C503" s="148"/>
      <c r="D503" s="141"/>
      <c r="E503" s="131" t="s">
        <v>855</v>
      </c>
      <c r="F503" s="131"/>
      <c r="G503" s="131"/>
      <c r="H503" s="131"/>
      <c r="I503" s="131"/>
      <c r="J503" s="131"/>
      <c r="K503" s="132" t="n">
        <f aca="false">SUM(E502*4)</f>
        <v>64</v>
      </c>
      <c r="L503" s="29"/>
      <c r="M503" s="29"/>
      <c r="N503" s="2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</row>
    <row r="504" customFormat="false" ht="14.25" hidden="false" customHeight="true" outlineLevel="0" collapsed="false">
      <c r="A504" s="157"/>
      <c r="B504" s="157"/>
      <c r="C504" s="157"/>
      <c r="D504" s="157"/>
      <c r="E504" s="131" t="s">
        <v>856</v>
      </c>
      <c r="F504" s="131"/>
      <c r="G504" s="131"/>
      <c r="H504" s="131"/>
      <c r="I504" s="131"/>
      <c r="J504" s="131"/>
      <c r="K504" s="132" t="n">
        <f aca="false">SUM(K503*0.617)</f>
        <v>39.488</v>
      </c>
      <c r="L504" s="29"/>
      <c r="M504" s="29"/>
      <c r="N504" s="2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</row>
    <row r="505" customFormat="false" ht="14.9" hidden="false" customHeight="false" outlineLevel="0" collapsed="false">
      <c r="A505" s="107" t="s">
        <v>460</v>
      </c>
      <c r="B505" s="23" t="s">
        <v>57</v>
      </c>
      <c r="C505" s="23" t="n">
        <v>96557</v>
      </c>
      <c r="D505" s="25" t="s">
        <v>113</v>
      </c>
      <c r="E505" s="23" t="s">
        <v>49</v>
      </c>
      <c r="F505" s="23" t="n">
        <f aca="false">I493</f>
        <v>1.92</v>
      </c>
      <c r="G505" s="109"/>
      <c r="H505" s="109"/>
      <c r="I505" s="109"/>
      <c r="J505" s="109"/>
      <c r="K505" s="109"/>
      <c r="L505" s="29"/>
      <c r="M505" s="29"/>
      <c r="N505" s="29"/>
      <c r="O505" s="29"/>
      <c r="P505" s="2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customFormat="false" ht="14.25" hidden="false" customHeight="false" outlineLevel="0" collapsed="false">
      <c r="A506" s="107" t="s">
        <v>461</v>
      </c>
      <c r="B506" s="24" t="s">
        <v>64</v>
      </c>
      <c r="C506" s="23" t="n">
        <v>97113</v>
      </c>
      <c r="D506" s="25" t="s">
        <v>65</v>
      </c>
      <c r="E506" s="23" t="s">
        <v>19</v>
      </c>
      <c r="F506" s="26" t="n">
        <v>16.9</v>
      </c>
      <c r="G506" s="109"/>
      <c r="H506" s="109"/>
      <c r="I506" s="109"/>
      <c r="J506" s="109"/>
      <c r="K506" s="109"/>
      <c r="L506" s="29"/>
      <c r="M506" s="42"/>
      <c r="N506" s="29"/>
      <c r="O506" s="29"/>
      <c r="P506" s="29"/>
    </row>
    <row r="507" customFormat="false" ht="14.25" hidden="false" customHeight="false" outlineLevel="0" collapsed="false">
      <c r="A507" s="107" t="s">
        <v>462</v>
      </c>
      <c r="B507" s="24" t="s">
        <v>57</v>
      </c>
      <c r="C507" s="23" t="s">
        <v>69</v>
      </c>
      <c r="D507" s="25" t="s">
        <v>70</v>
      </c>
      <c r="E507" s="23" t="s">
        <v>19</v>
      </c>
      <c r="F507" s="26" t="n">
        <v>16.9</v>
      </c>
      <c r="G507" s="109"/>
      <c r="H507" s="109"/>
      <c r="I507" s="109"/>
      <c r="J507" s="109"/>
      <c r="K507" s="109"/>
      <c r="L507" s="29"/>
      <c r="M507" s="29"/>
      <c r="N507" s="29"/>
      <c r="O507" s="29"/>
      <c r="P507" s="29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</row>
    <row r="508" customFormat="false" ht="14.9" hidden="false" customHeight="false" outlineLevel="0" collapsed="false">
      <c r="A508" s="107" t="s">
        <v>463</v>
      </c>
      <c r="B508" s="24" t="s">
        <v>57</v>
      </c>
      <c r="C508" s="23" t="n">
        <v>100324</v>
      </c>
      <c r="D508" s="41" t="s">
        <v>262</v>
      </c>
      <c r="E508" s="23" t="s">
        <v>49</v>
      </c>
      <c r="F508" s="111" t="n">
        <f aca="false">16.9*0.1</f>
        <v>1.69</v>
      </c>
      <c r="G508" s="109"/>
      <c r="H508" s="109"/>
      <c r="I508" s="109"/>
      <c r="J508" s="109"/>
      <c r="K508" s="109"/>
    </row>
    <row r="509" customFormat="false" ht="14.9" hidden="false" customHeight="false" outlineLevel="0" collapsed="false">
      <c r="A509" s="107" t="s">
        <v>464</v>
      </c>
      <c r="B509" s="24" t="s">
        <v>57</v>
      </c>
      <c r="C509" s="23" t="n">
        <v>101749</v>
      </c>
      <c r="D509" s="41" t="s">
        <v>264</v>
      </c>
      <c r="E509" s="23" t="s">
        <v>19</v>
      </c>
      <c r="F509" s="111" t="n">
        <v>16.9</v>
      </c>
      <c r="G509" s="109"/>
      <c r="H509" s="109"/>
      <c r="I509" s="109"/>
      <c r="J509" s="109"/>
      <c r="K509" s="109"/>
    </row>
    <row r="510" customFormat="false" ht="14.9" hidden="false" customHeight="false" outlineLevel="0" collapsed="false">
      <c r="A510" s="107" t="s">
        <v>465</v>
      </c>
      <c r="B510" s="24" t="s">
        <v>57</v>
      </c>
      <c r="C510" s="23" t="n">
        <v>94990</v>
      </c>
      <c r="D510" s="41" t="s">
        <v>266</v>
      </c>
      <c r="E510" s="23" t="s">
        <v>49</v>
      </c>
      <c r="F510" s="111" t="n">
        <f aca="false">16.9*0.15</f>
        <v>2.535</v>
      </c>
      <c r="G510" s="109"/>
      <c r="H510" s="109"/>
      <c r="I510" s="109"/>
      <c r="J510" s="109"/>
      <c r="K510" s="109"/>
    </row>
    <row r="511" customFormat="false" ht="14.25" hidden="false" customHeight="false" outlineLevel="0" collapsed="false">
      <c r="A511" s="107" t="s">
        <v>466</v>
      </c>
      <c r="B511" s="23" t="s">
        <v>21</v>
      </c>
      <c r="C511" s="54" t="s">
        <v>921</v>
      </c>
      <c r="D511" s="25" t="s">
        <v>444</v>
      </c>
      <c r="E511" s="23" t="s">
        <v>19</v>
      </c>
      <c r="F511" s="26" t="n">
        <v>35</v>
      </c>
      <c r="G511" s="109"/>
      <c r="H511" s="109"/>
      <c r="I511" s="109"/>
      <c r="J511" s="109"/>
      <c r="K511" s="109"/>
      <c r="L511" s="29"/>
      <c r="M511" s="29"/>
      <c r="N511" s="29"/>
      <c r="O511" s="29"/>
      <c r="P511" s="2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customFormat="false" ht="21.6" hidden="false" customHeight="false" outlineLevel="0" collapsed="false">
      <c r="A512" s="107" t="s">
        <v>467</v>
      </c>
      <c r="B512" s="23" t="s">
        <v>57</v>
      </c>
      <c r="C512" s="23" t="n">
        <v>92415</v>
      </c>
      <c r="D512" s="25" t="s">
        <v>118</v>
      </c>
      <c r="E512" s="23" t="s">
        <v>19</v>
      </c>
      <c r="F512" s="26" t="n">
        <f aca="false">J516</f>
        <v>4.5</v>
      </c>
      <c r="G512" s="27"/>
      <c r="H512" s="27"/>
      <c r="I512" s="28"/>
      <c r="J512" s="27"/>
      <c r="K512" s="138"/>
      <c r="L512" s="29"/>
      <c r="M512" s="29"/>
      <c r="N512" s="29"/>
      <c r="O512" s="29"/>
      <c r="P512" s="2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customFormat="false" ht="14.25" hidden="false" customHeight="false" outlineLevel="0" collapsed="false">
      <c r="A513" s="118" t="s">
        <v>834</v>
      </c>
      <c r="B513" s="118"/>
      <c r="C513" s="118"/>
      <c r="D513" s="119" t="s">
        <v>843</v>
      </c>
      <c r="E513" s="119"/>
      <c r="F513" s="119"/>
      <c r="G513" s="119"/>
      <c r="H513" s="119"/>
      <c r="I513" s="119"/>
      <c r="J513" s="119"/>
      <c r="K513" s="119"/>
    </row>
    <row r="514" customFormat="false" ht="14.25" hidden="false" customHeight="false" outlineLevel="0" collapsed="false">
      <c r="A514" s="120"/>
      <c r="B514" s="120"/>
      <c r="C514" s="120"/>
      <c r="D514" s="181" t="s">
        <v>836</v>
      </c>
      <c r="E514" s="181" t="s">
        <v>837</v>
      </c>
      <c r="F514" s="181" t="s">
        <v>857</v>
      </c>
      <c r="G514" s="181"/>
      <c r="H514" s="181" t="s">
        <v>859</v>
      </c>
      <c r="I514" s="181"/>
      <c r="J514" s="181" t="s">
        <v>840</v>
      </c>
      <c r="K514" s="182"/>
    </row>
    <row r="515" customFormat="false" ht="14.25" hidden="false" customHeight="false" outlineLevel="0" collapsed="false">
      <c r="A515" s="120"/>
      <c r="B515" s="120"/>
      <c r="C515" s="120"/>
      <c r="D515" s="23"/>
      <c r="E515" s="23" t="n">
        <v>3</v>
      </c>
      <c r="F515" s="23" t="n">
        <v>3</v>
      </c>
      <c r="G515" s="23"/>
      <c r="H515" s="23" t="s">
        <v>861</v>
      </c>
      <c r="I515" s="23"/>
      <c r="J515" s="23" t="n">
        <f aca="false">(F515*0.25)*E515</f>
        <v>2.25</v>
      </c>
      <c r="K515" s="183" t="n">
        <f aca="false">(F515*0.25*0.25)*E515</f>
        <v>0.5625</v>
      </c>
    </row>
    <row r="516" customFormat="false" ht="14.25" hidden="false" customHeight="false" outlineLevel="0" collapsed="false">
      <c r="A516" s="120"/>
      <c r="B516" s="120"/>
      <c r="C516" s="120"/>
      <c r="D516" s="181" t="s">
        <v>840</v>
      </c>
      <c r="E516" s="181"/>
      <c r="F516" s="181"/>
      <c r="G516" s="181"/>
      <c r="H516" s="181"/>
      <c r="I516" s="181"/>
      <c r="J516" s="180" t="n">
        <f aca="false">J515*2</f>
        <v>4.5</v>
      </c>
      <c r="K516" s="180"/>
    </row>
    <row r="517" customFormat="false" ht="14.25" hidden="false" customHeight="false" outlineLevel="0" collapsed="false">
      <c r="A517" s="107" t="s">
        <v>468</v>
      </c>
      <c r="B517" s="23" t="s">
        <v>57</v>
      </c>
      <c r="C517" s="23" t="n">
        <v>92800</v>
      </c>
      <c r="D517" s="25" t="s">
        <v>102</v>
      </c>
      <c r="E517" s="23" t="s">
        <v>103</v>
      </c>
      <c r="F517" s="23" t="n">
        <f aca="false">SUM(K521+K1275+K1280+K1286+K1291+K1296+K1310+K1315+K1320+K1325+K1358+K1363+K1368+K1372+K1377)</f>
        <v>9.6096</v>
      </c>
      <c r="G517" s="27"/>
      <c r="H517" s="27"/>
      <c r="I517" s="28"/>
      <c r="J517" s="27"/>
      <c r="K517" s="138"/>
      <c r="L517" s="29"/>
      <c r="M517" s="29"/>
      <c r="N517" s="29"/>
      <c r="O517" s="29"/>
      <c r="P517" s="29"/>
    </row>
    <row r="518" customFormat="false" ht="14.25" hidden="false" customHeight="false" outlineLevel="0" collapsed="false">
      <c r="A518" s="157"/>
      <c r="B518" s="157"/>
      <c r="C518" s="157"/>
      <c r="D518" s="131" t="s">
        <v>862</v>
      </c>
      <c r="E518" s="131" t="n">
        <f aca="false">SUM(F515*E515)</f>
        <v>9</v>
      </c>
      <c r="F518" s="131"/>
      <c r="G518" s="131"/>
      <c r="H518" s="131"/>
      <c r="I518" s="131"/>
      <c r="J518" s="131"/>
      <c r="K518" s="130"/>
      <c r="L518" s="29"/>
      <c r="M518" s="29"/>
      <c r="N518" s="2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</row>
    <row r="519" customFormat="false" ht="14.25" hidden="false" customHeight="true" outlineLevel="0" collapsed="false">
      <c r="A519" s="148"/>
      <c r="B519" s="148"/>
      <c r="C519" s="148"/>
      <c r="D519" s="141"/>
      <c r="E519" s="131" t="s">
        <v>863</v>
      </c>
      <c r="F519" s="131"/>
      <c r="G519" s="131"/>
      <c r="H519" s="131"/>
      <c r="I519" s="131"/>
      <c r="J519" s="131"/>
      <c r="K519" s="132" t="n">
        <f aca="false">SUM(E518/0.15)</f>
        <v>60</v>
      </c>
      <c r="L519" s="29"/>
      <c r="M519" s="29"/>
      <c r="N519" s="2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</row>
    <row r="520" customFormat="false" ht="14.25" hidden="false" customHeight="true" outlineLevel="0" collapsed="false">
      <c r="A520" s="157"/>
      <c r="B520" s="157"/>
      <c r="C520" s="157"/>
      <c r="D520" s="157"/>
      <c r="E520" s="131" t="s">
        <v>864</v>
      </c>
      <c r="F520" s="131"/>
      <c r="G520" s="131"/>
      <c r="H520" s="131"/>
      <c r="I520" s="131"/>
      <c r="J520" s="131"/>
      <c r="K520" s="132" t="n">
        <f aca="false">SUM(K519*1.04)</f>
        <v>62.4</v>
      </c>
      <c r="L520" s="29"/>
      <c r="M520" s="29"/>
      <c r="N520" s="2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</row>
    <row r="521" customFormat="false" ht="14.25" hidden="false" customHeight="true" outlineLevel="0" collapsed="false">
      <c r="A521" s="157"/>
      <c r="B521" s="157"/>
      <c r="C521" s="157"/>
      <c r="D521" s="157"/>
      <c r="E521" s="131" t="s">
        <v>865</v>
      </c>
      <c r="F521" s="131"/>
      <c r="G521" s="131"/>
      <c r="H521" s="131"/>
      <c r="I521" s="131"/>
      <c r="J521" s="131"/>
      <c r="K521" s="133" t="n">
        <f aca="false">SUM(K520*0.154)</f>
        <v>9.6096</v>
      </c>
      <c r="L521" s="29"/>
      <c r="M521" s="29"/>
      <c r="N521" s="2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</row>
    <row r="522" customFormat="false" ht="14.25" hidden="false" customHeight="false" outlineLevel="0" collapsed="false">
      <c r="A522" s="107" t="s">
        <v>469</v>
      </c>
      <c r="B522" s="23" t="s">
        <v>57</v>
      </c>
      <c r="C522" s="23" t="n">
        <v>92803</v>
      </c>
      <c r="D522" s="25" t="s">
        <v>105</v>
      </c>
      <c r="E522" s="23" t="s">
        <v>103</v>
      </c>
      <c r="F522" s="26" t="n">
        <f aca="false">SUM(K525+K1274+K1278+K1283+K1287+K1291+K1295+K1308+K1312+K1316+K1320+K1324+K1356+K1360+K1364)</f>
        <v>22.212</v>
      </c>
      <c r="G522" s="27"/>
      <c r="H522" s="27"/>
      <c r="I522" s="28"/>
      <c r="J522" s="27"/>
      <c r="K522" s="138"/>
      <c r="L522" s="29"/>
      <c r="M522" s="29"/>
      <c r="N522" s="29"/>
      <c r="O522" s="29"/>
      <c r="P522" s="2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customFormat="false" ht="14.25" hidden="false" customHeight="false" outlineLevel="0" collapsed="false">
      <c r="A523" s="157"/>
      <c r="B523" s="157"/>
      <c r="C523" s="157"/>
      <c r="D523" s="131" t="str">
        <f aca="false">D518</f>
        <v>PILARES DE 25 CM</v>
      </c>
      <c r="E523" s="131" t="n">
        <f aca="false">E518</f>
        <v>9</v>
      </c>
      <c r="F523" s="131"/>
      <c r="G523" s="131"/>
      <c r="H523" s="131"/>
      <c r="I523" s="131"/>
      <c r="J523" s="131"/>
      <c r="K523" s="130"/>
      <c r="L523" s="29"/>
      <c r="M523" s="29"/>
      <c r="N523" s="2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</row>
    <row r="524" customFormat="false" ht="14.25" hidden="false" customHeight="true" outlineLevel="0" collapsed="false">
      <c r="A524" s="148"/>
      <c r="B524" s="148"/>
      <c r="C524" s="148"/>
      <c r="D524" s="141"/>
      <c r="E524" s="131" t="s">
        <v>866</v>
      </c>
      <c r="F524" s="131"/>
      <c r="G524" s="131"/>
      <c r="H524" s="131"/>
      <c r="I524" s="131"/>
      <c r="J524" s="131"/>
      <c r="K524" s="132" t="n">
        <f aca="false">SUM(E523*4)</f>
        <v>36</v>
      </c>
      <c r="L524" s="29"/>
      <c r="M524" s="29"/>
      <c r="N524" s="2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</row>
    <row r="525" customFormat="false" ht="14.25" hidden="false" customHeight="true" outlineLevel="0" collapsed="false">
      <c r="A525" s="157"/>
      <c r="B525" s="157"/>
      <c r="C525" s="157"/>
      <c r="D525" s="157"/>
      <c r="E525" s="131" t="s">
        <v>867</v>
      </c>
      <c r="F525" s="131"/>
      <c r="G525" s="131"/>
      <c r="H525" s="131"/>
      <c r="I525" s="131"/>
      <c r="J525" s="131"/>
      <c r="K525" s="132" t="n">
        <f aca="false">SUM(K524*0.617)</f>
        <v>22.212</v>
      </c>
      <c r="L525" s="29"/>
      <c r="M525" s="29"/>
      <c r="N525" s="2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</row>
    <row r="526" customFormat="false" ht="14.9" hidden="false" customHeight="false" outlineLevel="0" collapsed="false">
      <c r="A526" s="107" t="s">
        <v>470</v>
      </c>
      <c r="B526" s="23" t="s">
        <v>57</v>
      </c>
      <c r="C526" s="23" t="n">
        <v>103672</v>
      </c>
      <c r="D526" s="25" t="s">
        <v>122</v>
      </c>
      <c r="E526" s="23" t="s">
        <v>49</v>
      </c>
      <c r="F526" s="26" t="n">
        <f aca="false">SUM(K515:K515)</f>
        <v>0.5625</v>
      </c>
      <c r="G526" s="27"/>
      <c r="H526" s="27"/>
      <c r="I526" s="28"/>
      <c r="J526" s="27"/>
      <c r="K526" s="138"/>
      <c r="L526" s="29"/>
      <c r="M526" s="29"/>
      <c r="N526" s="29"/>
      <c r="O526" s="29"/>
      <c r="P526" s="29"/>
    </row>
    <row r="527" customFormat="false" ht="14.25" hidden="false" customHeight="false" outlineLevel="0" collapsed="false">
      <c r="A527" s="157"/>
      <c r="B527" s="184"/>
      <c r="C527" s="184"/>
      <c r="D527" s="185"/>
      <c r="E527" s="186" t="n">
        <f aca="false">SUM(E518*0.25*0.25)</f>
        <v>0.5625</v>
      </c>
      <c r="F527" s="186"/>
      <c r="G527" s="186"/>
      <c r="H527" s="186"/>
      <c r="I527" s="186"/>
      <c r="J527" s="186"/>
      <c r="K527" s="186"/>
      <c r="L527" s="29"/>
      <c r="M527" s="29"/>
      <c r="N527" s="29"/>
      <c r="O527" s="29"/>
      <c r="P527" s="29"/>
    </row>
    <row r="528" customFormat="false" ht="14.25" hidden="false" customHeight="false" outlineLevel="0" collapsed="false">
      <c r="A528" s="107" t="s">
        <v>471</v>
      </c>
      <c r="B528" s="30" t="s">
        <v>21</v>
      </c>
      <c r="C528" s="23" t="s">
        <v>450</v>
      </c>
      <c r="D528" s="41" t="s">
        <v>451</v>
      </c>
      <c r="E528" s="23" t="s">
        <v>19</v>
      </c>
      <c r="F528" s="111" t="n">
        <f aca="false">F532</f>
        <v>3.9875</v>
      </c>
      <c r="G528" s="112"/>
      <c r="H528" s="112"/>
      <c r="I528" s="112"/>
      <c r="J528" s="112"/>
      <c r="K528" s="112"/>
    </row>
    <row r="529" customFormat="false" ht="14.25" hidden="false" customHeight="false" outlineLevel="0" collapsed="false">
      <c r="A529" s="107"/>
      <c r="B529" s="23"/>
      <c r="C529" s="23"/>
      <c r="D529" s="23" t="s">
        <v>922</v>
      </c>
      <c r="E529" s="23"/>
      <c r="F529" s="111" t="n">
        <f aca="false">SUM(0.04*4)*3</f>
        <v>0.48</v>
      </c>
      <c r="G529" s="187"/>
      <c r="H529" s="37"/>
      <c r="I529" s="37"/>
      <c r="J529" s="37"/>
      <c r="K529" s="112"/>
    </row>
    <row r="530" customFormat="false" ht="14.25" hidden="false" customHeight="false" outlineLevel="0" collapsed="false">
      <c r="A530" s="120"/>
      <c r="B530" s="188"/>
      <c r="C530" s="188"/>
      <c r="D530" s="179" t="s">
        <v>923</v>
      </c>
      <c r="E530" s="179"/>
      <c r="F530" s="189" t="n">
        <f aca="false">17.75*0.15</f>
        <v>2.6625</v>
      </c>
      <c r="G530" s="188"/>
      <c r="H530" s="188"/>
      <c r="I530" s="188"/>
      <c r="J530" s="188"/>
      <c r="K530" s="126"/>
    </row>
    <row r="531" customFormat="false" ht="14.25" hidden="false" customHeight="false" outlineLevel="0" collapsed="false">
      <c r="A531" s="120"/>
      <c r="B531" s="188"/>
      <c r="C531" s="188"/>
      <c r="D531" s="179" t="s">
        <v>924</v>
      </c>
      <c r="E531" s="179"/>
      <c r="F531" s="189" t="n">
        <f aca="false">16.9*0.05</f>
        <v>0.845</v>
      </c>
      <c r="G531" s="188"/>
      <c r="H531" s="188"/>
      <c r="I531" s="188"/>
      <c r="J531" s="188"/>
      <c r="K531" s="126"/>
    </row>
    <row r="532" customFormat="false" ht="14.25" hidden="false" customHeight="false" outlineLevel="0" collapsed="false">
      <c r="A532" s="120"/>
      <c r="B532" s="188"/>
      <c r="C532" s="188"/>
      <c r="D532" s="179" t="s">
        <v>851</v>
      </c>
      <c r="E532" s="179"/>
      <c r="F532" s="190" t="n">
        <f aca="false">SUM(F529:F531)</f>
        <v>3.9875</v>
      </c>
      <c r="G532" s="188"/>
      <c r="H532" s="188"/>
      <c r="I532" s="188"/>
      <c r="J532" s="188"/>
      <c r="K532" s="126"/>
    </row>
    <row r="533" customFormat="false" ht="14.25" hidden="false" customHeight="false" outlineLevel="0" collapsed="false">
      <c r="A533" s="195" t="s">
        <v>473</v>
      </c>
      <c r="B533" s="196" t="s">
        <v>474</v>
      </c>
      <c r="C533" s="196"/>
      <c r="D533" s="196"/>
      <c r="E533" s="196"/>
      <c r="F533" s="196"/>
      <c r="G533" s="196"/>
      <c r="H533" s="196"/>
      <c r="I533" s="196"/>
      <c r="J533" s="196"/>
      <c r="K533" s="196"/>
    </row>
    <row r="534" customFormat="false" ht="14.25" hidden="false" customHeight="false" outlineLevel="0" collapsed="false">
      <c r="A534" s="107" t="s">
        <v>475</v>
      </c>
      <c r="B534" s="23" t="s">
        <v>26</v>
      </c>
      <c r="C534" s="23" t="s">
        <v>476</v>
      </c>
      <c r="D534" s="41" t="s">
        <v>477</v>
      </c>
      <c r="E534" s="23" t="s">
        <v>49</v>
      </c>
      <c r="F534" s="111" t="n">
        <f aca="false">SUM(E535+G536+G537)</f>
        <v>17.0805</v>
      </c>
      <c r="G534" s="37"/>
      <c r="H534" s="37"/>
      <c r="I534" s="38"/>
      <c r="J534" s="37"/>
      <c r="K534" s="112"/>
    </row>
    <row r="535" customFormat="false" ht="14.25" hidden="false" customHeight="false" outlineLevel="0" collapsed="false">
      <c r="A535" s="120"/>
      <c r="B535" s="120"/>
      <c r="C535" s="120"/>
      <c r="D535" s="197" t="s">
        <v>925</v>
      </c>
      <c r="E535" s="23" t="n">
        <f aca="false">SUM(31.79*0.45)</f>
        <v>14.3055</v>
      </c>
      <c r="F535" s="111"/>
      <c r="G535" s="37"/>
      <c r="H535" s="126"/>
      <c r="I535" s="126"/>
      <c r="J535" s="126"/>
      <c r="K535" s="126"/>
    </row>
    <row r="536" customFormat="false" ht="14.25" hidden="false" customHeight="false" outlineLevel="0" collapsed="false">
      <c r="A536" s="120"/>
      <c r="B536" s="120"/>
      <c r="C536" s="120"/>
      <c r="D536" s="197" t="s">
        <v>926</v>
      </c>
      <c r="E536" s="23" t="n">
        <f aca="false">SUM(3.14*0.1)+(0.03*0.7)</f>
        <v>0.335</v>
      </c>
      <c r="F536" s="111" t="n">
        <v>5</v>
      </c>
      <c r="G536" s="187" t="n">
        <f aca="false">SUM(E536*F536)</f>
        <v>1.675</v>
      </c>
      <c r="H536" s="126"/>
      <c r="I536" s="126"/>
      <c r="J536" s="126"/>
      <c r="K536" s="126"/>
    </row>
    <row r="537" customFormat="false" ht="14.25" hidden="false" customHeight="false" outlineLevel="0" collapsed="false">
      <c r="A537" s="120"/>
      <c r="B537" s="120"/>
      <c r="C537" s="120"/>
      <c r="D537" s="197" t="s">
        <v>927</v>
      </c>
      <c r="E537" s="23" t="n">
        <f aca="false">SUM(0.46*0.1)+(0.03*0.3)</f>
        <v>0.055</v>
      </c>
      <c r="F537" s="111" t="n">
        <v>20</v>
      </c>
      <c r="G537" s="187" t="n">
        <f aca="false">SUM(E537*F537)</f>
        <v>1.1</v>
      </c>
      <c r="H537" s="126"/>
      <c r="I537" s="126"/>
      <c r="J537" s="126"/>
      <c r="K537" s="126"/>
    </row>
    <row r="538" customFormat="false" ht="14.25" hidden="false" customHeight="false" outlineLevel="0" collapsed="false">
      <c r="A538" s="107" t="s">
        <v>478</v>
      </c>
      <c r="B538" s="23" t="s">
        <v>21</v>
      </c>
      <c r="C538" s="23" t="s">
        <v>479</v>
      </c>
      <c r="D538" s="41" t="s">
        <v>480</v>
      </c>
      <c r="E538" s="23" t="s">
        <v>19</v>
      </c>
      <c r="F538" s="111" t="n">
        <f aca="false">SUM(E539+G540+G541)</f>
        <v>112.675</v>
      </c>
      <c r="G538" s="37"/>
      <c r="H538" s="37"/>
      <c r="I538" s="38"/>
      <c r="J538" s="37"/>
      <c r="K538" s="112"/>
    </row>
    <row r="539" customFormat="false" ht="14.25" hidden="false" customHeight="false" outlineLevel="0" collapsed="false">
      <c r="A539" s="120"/>
      <c r="B539" s="120"/>
      <c r="C539" s="120"/>
      <c r="D539" s="197" t="s">
        <v>925</v>
      </c>
      <c r="E539" s="23" t="n">
        <f aca="false">SUM(31.79+14.4+14.4)</f>
        <v>60.59</v>
      </c>
      <c r="F539" s="111"/>
      <c r="G539" s="37"/>
      <c r="H539" s="126"/>
      <c r="I539" s="126"/>
      <c r="J539" s="126"/>
      <c r="K539" s="126"/>
    </row>
    <row r="540" customFormat="false" ht="14.25" hidden="false" customHeight="false" outlineLevel="0" collapsed="false">
      <c r="A540" s="120"/>
      <c r="B540" s="120"/>
      <c r="C540" s="120"/>
      <c r="D540" s="197" t="s">
        <v>926</v>
      </c>
      <c r="E540" s="23" t="n">
        <f aca="false">SUM(3.14*2)+(0.2*2)+(0.03*0.7)</f>
        <v>6.701</v>
      </c>
      <c r="F540" s="111" t="s">
        <v>928</v>
      </c>
      <c r="G540" s="187" t="n">
        <f aca="false">SUM(E540*5)</f>
        <v>33.505</v>
      </c>
      <c r="H540" s="126"/>
      <c r="I540" s="126"/>
      <c r="J540" s="126"/>
      <c r="K540" s="126"/>
    </row>
    <row r="541" customFormat="false" ht="14.25" hidden="false" customHeight="false" outlineLevel="0" collapsed="false">
      <c r="A541" s="120"/>
      <c r="B541" s="120"/>
      <c r="C541" s="120"/>
      <c r="D541" s="197" t="s">
        <v>927</v>
      </c>
      <c r="E541" s="23" t="n">
        <f aca="false">SUM(0.46*2)+(0.03*0.3)</f>
        <v>0.929</v>
      </c>
      <c r="F541" s="111" t="s">
        <v>929</v>
      </c>
      <c r="G541" s="187" t="n">
        <f aca="false">SUM(E541*20)</f>
        <v>18.58</v>
      </c>
      <c r="H541" s="126"/>
      <c r="I541" s="126"/>
      <c r="J541" s="126"/>
      <c r="K541" s="126"/>
    </row>
    <row r="542" customFormat="false" ht="14.25" hidden="false" customHeight="false" outlineLevel="0" collapsed="false">
      <c r="A542" s="107" t="s">
        <v>481</v>
      </c>
      <c r="B542" s="23"/>
      <c r="C542" s="23" t="s">
        <v>162</v>
      </c>
      <c r="D542" s="25" t="s">
        <v>163</v>
      </c>
      <c r="E542" s="23" t="s">
        <v>19</v>
      </c>
      <c r="F542" s="111" t="n">
        <f aca="false">E539</f>
        <v>60.59</v>
      </c>
      <c r="G542" s="27"/>
      <c r="H542" s="37"/>
      <c r="I542" s="38"/>
      <c r="J542" s="37"/>
      <c r="K542" s="112"/>
    </row>
    <row r="543" customFormat="false" ht="14.25" hidden="false" customHeight="false" outlineLevel="0" collapsed="false">
      <c r="A543" s="107" t="s">
        <v>482</v>
      </c>
      <c r="B543" s="23"/>
      <c r="C543" s="23" t="n">
        <v>88489</v>
      </c>
      <c r="D543" s="25" t="s">
        <v>172</v>
      </c>
      <c r="E543" s="23" t="s">
        <v>19</v>
      </c>
      <c r="F543" s="111" t="n">
        <f aca="false">E539</f>
        <v>60.59</v>
      </c>
      <c r="G543" s="27"/>
      <c r="H543" s="37"/>
      <c r="I543" s="38"/>
      <c r="J543" s="37"/>
      <c r="K543" s="112"/>
    </row>
    <row r="544" customFormat="false" ht="14.9" hidden="false" customHeight="false" outlineLevel="0" collapsed="false">
      <c r="A544" s="107" t="s">
        <v>483</v>
      </c>
      <c r="B544" s="23" t="s">
        <v>57</v>
      </c>
      <c r="C544" s="23" t="n">
        <v>101749</v>
      </c>
      <c r="D544" s="41" t="s">
        <v>264</v>
      </c>
      <c r="E544" s="23" t="s">
        <v>19</v>
      </c>
      <c r="F544" s="111" t="n">
        <f aca="false">SUM(12.56*5)</f>
        <v>62.8</v>
      </c>
      <c r="G544" s="37"/>
      <c r="H544" s="37"/>
      <c r="I544" s="38"/>
      <c r="J544" s="37"/>
      <c r="K544" s="112"/>
    </row>
    <row r="545" customFormat="false" ht="14.25" hidden="false" customHeight="false" outlineLevel="0" collapsed="false">
      <c r="A545" s="107" t="s">
        <v>484</v>
      </c>
      <c r="B545" s="23" t="s">
        <v>57</v>
      </c>
      <c r="C545" s="23" t="s">
        <v>485</v>
      </c>
      <c r="D545" s="41" t="s">
        <v>486</v>
      </c>
      <c r="E545" s="23" t="s">
        <v>19</v>
      </c>
      <c r="F545" s="111" t="n">
        <v>391.74</v>
      </c>
      <c r="G545" s="37"/>
      <c r="H545" s="37"/>
      <c r="I545" s="38"/>
      <c r="J545" s="37"/>
      <c r="K545" s="112"/>
    </row>
    <row r="546" customFormat="false" ht="14.9" hidden="false" customHeight="false" outlineLevel="0" collapsed="false">
      <c r="A546" s="107" t="s">
        <v>487</v>
      </c>
      <c r="B546" s="23" t="s">
        <v>57</v>
      </c>
      <c r="C546" s="23" t="n">
        <v>101174</v>
      </c>
      <c r="D546" s="25" t="s">
        <v>488</v>
      </c>
      <c r="E546" s="23" t="s">
        <v>24</v>
      </c>
      <c r="F546" s="23" t="n">
        <f aca="false">SUM(13*3)</f>
        <v>39</v>
      </c>
      <c r="G546" s="27"/>
      <c r="H546" s="27"/>
      <c r="I546" s="28"/>
      <c r="J546" s="27"/>
      <c r="K546" s="138"/>
      <c r="L546" s="29"/>
      <c r="M546" s="29"/>
      <c r="N546" s="29"/>
      <c r="O546" s="29"/>
      <c r="P546" s="29"/>
    </row>
    <row r="547" customFormat="false" ht="14.25" hidden="false" customHeight="false" outlineLevel="0" collapsed="false">
      <c r="A547" s="107" t="s">
        <v>489</v>
      </c>
      <c r="B547" s="23" t="s">
        <v>57</v>
      </c>
      <c r="C547" s="23" t="n">
        <v>92800</v>
      </c>
      <c r="D547" s="25" t="s">
        <v>102</v>
      </c>
      <c r="E547" s="23" t="s">
        <v>103</v>
      </c>
      <c r="F547" s="23" t="n">
        <v>41.64</v>
      </c>
      <c r="G547" s="27"/>
      <c r="H547" s="27"/>
      <c r="I547" s="28"/>
      <c r="J547" s="27"/>
      <c r="K547" s="138"/>
      <c r="L547" s="29"/>
      <c r="M547" s="29"/>
      <c r="N547" s="29"/>
      <c r="O547" s="29"/>
      <c r="P547" s="29"/>
    </row>
    <row r="548" customFormat="false" ht="14.25" hidden="false" customHeight="false" outlineLevel="0" collapsed="false">
      <c r="A548" s="198"/>
      <c r="B548" s="198"/>
      <c r="C548" s="198"/>
      <c r="D548" s="199" t="s">
        <v>930</v>
      </c>
      <c r="E548" s="200" t="n">
        <f aca="false">F546</f>
        <v>39</v>
      </c>
      <c r="F548" s="200"/>
      <c r="G548" s="200"/>
      <c r="H548" s="200"/>
      <c r="I548" s="200"/>
      <c r="J548" s="200"/>
      <c r="K548" s="201"/>
      <c r="L548" s="29"/>
      <c r="M548" s="29"/>
      <c r="N548" s="2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</row>
    <row r="549" customFormat="false" ht="14.25" hidden="false" customHeight="true" outlineLevel="0" collapsed="false">
      <c r="A549" s="198"/>
      <c r="B549" s="198"/>
      <c r="C549" s="198"/>
      <c r="D549" s="198"/>
      <c r="E549" s="199" t="s">
        <v>931</v>
      </c>
      <c r="F549" s="199"/>
      <c r="G549" s="199"/>
      <c r="H549" s="199"/>
      <c r="I549" s="199"/>
      <c r="J549" s="199"/>
      <c r="K549" s="201"/>
      <c r="L549" s="29"/>
      <c r="M549" s="29"/>
      <c r="N549" s="2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</row>
    <row r="550" customFormat="false" ht="14.25" hidden="false" customHeight="true" outlineLevel="0" collapsed="false">
      <c r="A550" s="198"/>
      <c r="B550" s="198"/>
      <c r="C550" s="198"/>
      <c r="D550" s="198"/>
      <c r="E550" s="199" t="s">
        <v>932</v>
      </c>
      <c r="F550" s="199"/>
      <c r="G550" s="199"/>
      <c r="H550" s="199"/>
      <c r="I550" s="199"/>
      <c r="J550" s="199"/>
      <c r="K550" s="201"/>
      <c r="L550" s="29"/>
      <c r="M550" s="29"/>
      <c r="N550" s="2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</row>
    <row r="551" customFormat="false" ht="14.25" hidden="false" customHeight="true" outlineLevel="0" collapsed="false">
      <c r="A551" s="198"/>
      <c r="B551" s="198"/>
      <c r="C551" s="198"/>
      <c r="D551" s="198"/>
      <c r="E551" s="199" t="s">
        <v>933</v>
      </c>
      <c r="F551" s="199"/>
      <c r="G551" s="199"/>
      <c r="H551" s="199"/>
      <c r="I551" s="199"/>
      <c r="J551" s="199"/>
      <c r="K551" s="201"/>
      <c r="L551" s="29"/>
      <c r="M551" s="29"/>
      <c r="N551" s="2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</row>
    <row r="552" customFormat="false" ht="14.9" hidden="false" customHeight="false" outlineLevel="0" collapsed="false">
      <c r="A552" s="107" t="s">
        <v>490</v>
      </c>
      <c r="B552" s="23" t="s">
        <v>57</v>
      </c>
      <c r="C552" s="23" t="n">
        <v>96526</v>
      </c>
      <c r="D552" s="25" t="s">
        <v>107</v>
      </c>
      <c r="E552" s="23" t="s">
        <v>49</v>
      </c>
      <c r="F552" s="23" t="n">
        <f aca="false">SUM(31.79*0.3)</f>
        <v>9.537</v>
      </c>
      <c r="G552" s="27"/>
      <c r="H552" s="27"/>
      <c r="I552" s="28"/>
      <c r="J552" s="27"/>
      <c r="K552" s="138"/>
      <c r="L552" s="29"/>
      <c r="M552" s="29"/>
      <c r="N552" s="29"/>
      <c r="O552" s="29"/>
      <c r="P552" s="29"/>
    </row>
    <row r="553" customFormat="false" ht="14.9" hidden="false" customHeight="false" outlineLevel="0" collapsed="false">
      <c r="A553" s="107" t="s">
        <v>491</v>
      </c>
      <c r="B553" s="23" t="s">
        <v>57</v>
      </c>
      <c r="C553" s="23" t="n">
        <v>101619</v>
      </c>
      <c r="D553" s="25" t="s">
        <v>109</v>
      </c>
      <c r="E553" s="23" t="s">
        <v>49</v>
      </c>
      <c r="F553" s="23" t="n">
        <f aca="false">SUM(31.79*0.1)</f>
        <v>3.179</v>
      </c>
      <c r="G553" s="27"/>
      <c r="H553" s="27"/>
      <c r="I553" s="28"/>
      <c r="J553" s="27"/>
      <c r="K553" s="138"/>
      <c r="L553" s="29"/>
      <c r="M553" s="29"/>
      <c r="N553" s="29"/>
      <c r="O553" s="29"/>
      <c r="P553" s="29"/>
    </row>
    <row r="554" customFormat="false" ht="14.25" hidden="false" customHeight="false" outlineLevel="0" collapsed="false">
      <c r="A554" s="107" t="s">
        <v>492</v>
      </c>
      <c r="B554" s="23" t="s">
        <v>57</v>
      </c>
      <c r="C554" s="23" t="n">
        <v>92800</v>
      </c>
      <c r="D554" s="25" t="s">
        <v>102</v>
      </c>
      <c r="E554" s="23" t="s">
        <v>103</v>
      </c>
      <c r="F554" s="23" t="n">
        <v>85.37</v>
      </c>
      <c r="G554" s="27"/>
      <c r="H554" s="27"/>
      <c r="I554" s="28"/>
      <c r="J554" s="27"/>
      <c r="K554" s="138"/>
      <c r="L554" s="29"/>
      <c r="M554" s="29"/>
      <c r="N554" s="29"/>
      <c r="O554" s="29"/>
      <c r="P554" s="29"/>
    </row>
    <row r="555" customFormat="false" ht="14.25" hidden="false" customHeight="false" outlineLevel="0" collapsed="false">
      <c r="A555" s="157"/>
      <c r="B555" s="157"/>
      <c r="C555" s="157"/>
      <c r="D555" s="131" t="s">
        <v>930</v>
      </c>
      <c r="E555" s="131" t="n">
        <f aca="false">SUM(14.6+16.86)</f>
        <v>31.46</v>
      </c>
      <c r="F555" s="131"/>
      <c r="G555" s="131"/>
      <c r="H555" s="131"/>
      <c r="I555" s="131"/>
      <c r="J555" s="131"/>
      <c r="K555" s="130"/>
      <c r="L555" s="29"/>
      <c r="M555" s="29"/>
      <c r="N555" s="2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</row>
    <row r="556" customFormat="false" ht="14.25" hidden="false" customHeight="true" outlineLevel="0" collapsed="false">
      <c r="A556" s="157"/>
      <c r="B556" s="157"/>
      <c r="C556" s="157"/>
      <c r="D556" s="157"/>
      <c r="E556" s="131" t="s">
        <v>934</v>
      </c>
      <c r="F556" s="131"/>
      <c r="G556" s="131"/>
      <c r="H556" s="131"/>
      <c r="I556" s="131"/>
      <c r="J556" s="131"/>
      <c r="K556" s="130"/>
      <c r="L556" s="29"/>
      <c r="M556" s="29"/>
      <c r="N556" s="2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</row>
    <row r="557" customFormat="false" ht="14.25" hidden="false" customHeight="true" outlineLevel="0" collapsed="false">
      <c r="A557" s="157"/>
      <c r="B557" s="157"/>
      <c r="C557" s="157"/>
      <c r="D557" s="157"/>
      <c r="E557" s="131" t="s">
        <v>935</v>
      </c>
      <c r="F557" s="131"/>
      <c r="G557" s="131"/>
      <c r="H557" s="131"/>
      <c r="I557" s="131"/>
      <c r="J557" s="131"/>
      <c r="K557" s="130"/>
      <c r="L557" s="29"/>
      <c r="M557" s="29"/>
      <c r="N557" s="2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</row>
    <row r="558" customFormat="false" ht="14.25" hidden="false" customHeight="true" outlineLevel="0" collapsed="false">
      <c r="A558" s="157"/>
      <c r="B558" s="157"/>
      <c r="C558" s="157"/>
      <c r="D558" s="157"/>
      <c r="E558" s="131" t="s">
        <v>936</v>
      </c>
      <c r="F558" s="131"/>
      <c r="G558" s="131"/>
      <c r="H558" s="131"/>
      <c r="I558" s="131"/>
      <c r="J558" s="131"/>
      <c r="K558" s="130"/>
      <c r="L558" s="29"/>
      <c r="M558" s="29"/>
      <c r="N558" s="2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</row>
    <row r="559" customFormat="false" ht="14.25" hidden="false" customHeight="false" outlineLevel="0" collapsed="false">
      <c r="A559" s="107" t="s">
        <v>493</v>
      </c>
      <c r="B559" s="23" t="s">
        <v>57</v>
      </c>
      <c r="C559" s="23" t="n">
        <v>92803</v>
      </c>
      <c r="D559" s="25" t="s">
        <v>105</v>
      </c>
      <c r="E559" s="23" t="s">
        <v>103</v>
      </c>
      <c r="F559" s="23" t="n">
        <v>194.1</v>
      </c>
      <c r="G559" s="109"/>
      <c r="H559" s="109"/>
      <c r="I559" s="109"/>
      <c r="J559" s="109"/>
      <c r="K559" s="109"/>
      <c r="L559" s="29"/>
      <c r="M559" s="29"/>
      <c r="N559" s="29"/>
      <c r="O559" s="29"/>
      <c r="P559" s="2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customFormat="false" ht="14.25" hidden="false" customHeight="false" outlineLevel="0" collapsed="false">
      <c r="A560" s="157"/>
      <c r="B560" s="157"/>
      <c r="C560" s="157"/>
      <c r="D560" s="157"/>
      <c r="E560" s="131" t="n">
        <f aca="false">E555</f>
        <v>31.46</v>
      </c>
      <c r="F560" s="131"/>
      <c r="G560" s="131"/>
      <c r="H560" s="131"/>
      <c r="I560" s="131"/>
      <c r="J560" s="131"/>
      <c r="K560" s="130"/>
      <c r="L560" s="29"/>
      <c r="M560" s="29"/>
      <c r="N560" s="2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</row>
    <row r="561" customFormat="false" ht="14.25" hidden="false" customHeight="true" outlineLevel="0" collapsed="false">
      <c r="A561" s="157"/>
      <c r="B561" s="157"/>
      <c r="C561" s="157"/>
      <c r="D561" s="157"/>
      <c r="E561" s="131" t="s">
        <v>937</v>
      </c>
      <c r="F561" s="131"/>
      <c r="G561" s="131"/>
      <c r="H561" s="131"/>
      <c r="I561" s="131"/>
      <c r="J561" s="131"/>
      <c r="K561" s="130"/>
      <c r="L561" s="29"/>
      <c r="M561" s="29"/>
      <c r="N561" s="2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</row>
    <row r="562" customFormat="false" ht="14.25" hidden="false" customHeight="true" outlineLevel="0" collapsed="false">
      <c r="A562" s="157"/>
      <c r="B562" s="157"/>
      <c r="C562" s="157"/>
      <c r="D562" s="157"/>
      <c r="E562" s="131" t="s">
        <v>938</v>
      </c>
      <c r="F562" s="131"/>
      <c r="G562" s="131"/>
      <c r="H562" s="131"/>
      <c r="I562" s="131"/>
      <c r="J562" s="131"/>
      <c r="K562" s="130"/>
      <c r="L562" s="29"/>
      <c r="M562" s="29"/>
      <c r="N562" s="2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</row>
    <row r="563" customFormat="false" ht="14.9" hidden="false" customHeight="false" outlineLevel="0" collapsed="false">
      <c r="A563" s="107" t="s">
        <v>494</v>
      </c>
      <c r="B563" s="23" t="s">
        <v>57</v>
      </c>
      <c r="C563" s="23" t="n">
        <v>96557</v>
      </c>
      <c r="D563" s="25" t="s">
        <v>113</v>
      </c>
      <c r="E563" s="23" t="s">
        <v>49</v>
      </c>
      <c r="F563" s="23" t="n">
        <f aca="false">SUM(31.79*0.3)</f>
        <v>9.537</v>
      </c>
      <c r="G563" s="109"/>
      <c r="H563" s="109"/>
      <c r="I563" s="109"/>
      <c r="J563" s="109"/>
      <c r="K563" s="109"/>
      <c r="L563" s="29"/>
      <c r="M563" s="29"/>
      <c r="N563" s="29"/>
      <c r="O563" s="29"/>
      <c r="P563" s="2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customFormat="false" ht="14.25" hidden="false" customHeight="false" outlineLevel="0" collapsed="false">
      <c r="A564" s="195" t="s">
        <v>496</v>
      </c>
      <c r="B564" s="202"/>
      <c r="C564" s="202"/>
      <c r="D564" s="203" t="s">
        <v>497</v>
      </c>
      <c r="E564" s="203"/>
      <c r="F564" s="203"/>
      <c r="G564" s="203"/>
      <c r="H564" s="203"/>
      <c r="I564" s="203"/>
      <c r="J564" s="203"/>
      <c r="K564" s="204"/>
    </row>
    <row r="565" customFormat="false" ht="14.9" hidden="false" customHeight="false" outlineLevel="0" collapsed="false">
      <c r="A565" s="107" t="s">
        <v>499</v>
      </c>
      <c r="B565" s="45" t="s">
        <v>21</v>
      </c>
      <c r="C565" s="23" t="s">
        <v>500</v>
      </c>
      <c r="D565" s="25" t="s">
        <v>501</v>
      </c>
      <c r="E565" s="23" t="s">
        <v>49</v>
      </c>
      <c r="F565" s="23" t="n">
        <f aca="false">33.61*0.2*0.5</f>
        <v>3.361</v>
      </c>
      <c r="G565" s="138"/>
      <c r="H565" s="138"/>
      <c r="I565" s="138"/>
      <c r="J565" s="138"/>
      <c r="K565" s="138"/>
      <c r="L565" s="29"/>
      <c r="M565" s="29"/>
      <c r="N565" s="29"/>
      <c r="O565" s="29"/>
      <c r="P565" s="29"/>
    </row>
    <row r="566" customFormat="false" ht="14.25" hidden="false" customHeight="false" outlineLevel="0" collapsed="false">
      <c r="A566" s="107" t="s">
        <v>502</v>
      </c>
      <c r="B566" s="30" t="s">
        <v>21</v>
      </c>
      <c r="C566" s="23" t="s">
        <v>254</v>
      </c>
      <c r="D566" s="25" t="s">
        <v>255</v>
      </c>
      <c r="E566" s="23" t="s">
        <v>49</v>
      </c>
      <c r="F566" s="23" t="n">
        <f aca="false">'MEMORIAL DE CALCULO'!F565</f>
        <v>3.361</v>
      </c>
      <c r="G566" s="138"/>
      <c r="H566" s="138"/>
      <c r="I566" s="138"/>
      <c r="J566" s="138"/>
      <c r="K566" s="138"/>
    </row>
    <row r="567" customFormat="false" ht="14.9" hidden="false" customHeight="false" outlineLevel="0" collapsed="false">
      <c r="A567" s="107" t="s">
        <v>503</v>
      </c>
      <c r="B567" s="24" t="s">
        <v>57</v>
      </c>
      <c r="C567" s="23" t="n">
        <v>100982</v>
      </c>
      <c r="D567" s="41" t="s">
        <v>257</v>
      </c>
      <c r="E567" s="23" t="s">
        <v>49</v>
      </c>
      <c r="F567" s="23" t="n">
        <f aca="false">'MEMORIAL DE CALCULO'!F566</f>
        <v>3.361</v>
      </c>
      <c r="G567" s="138"/>
      <c r="H567" s="138"/>
      <c r="I567" s="138"/>
      <c r="J567" s="138"/>
      <c r="K567" s="138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customFormat="false" ht="14.9" hidden="false" customHeight="false" outlineLevel="0" collapsed="false">
      <c r="A568" s="107" t="s">
        <v>504</v>
      </c>
      <c r="B568" s="24" t="s">
        <v>57</v>
      </c>
      <c r="C568" s="23" t="n">
        <v>95875</v>
      </c>
      <c r="D568" s="41" t="s">
        <v>259</v>
      </c>
      <c r="E568" s="23" t="s">
        <v>260</v>
      </c>
      <c r="F568" s="111" t="n">
        <f aca="false">F567*10</f>
        <v>33.61</v>
      </c>
      <c r="G568" s="138"/>
      <c r="H568" s="138"/>
      <c r="I568" s="138"/>
      <c r="J568" s="138"/>
      <c r="K568" s="138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customFormat="false" ht="14.25" hidden="false" customHeight="false" outlineLevel="0" collapsed="false">
      <c r="A569" s="107" t="s">
        <v>505</v>
      </c>
      <c r="B569" s="45" t="s">
        <v>21</v>
      </c>
      <c r="C569" s="23" t="s">
        <v>506</v>
      </c>
      <c r="D569" s="25" t="s">
        <v>507</v>
      </c>
      <c r="E569" s="23" t="s">
        <v>24</v>
      </c>
      <c r="F569" s="23" t="n">
        <v>33</v>
      </c>
      <c r="G569" s="138"/>
      <c r="H569" s="138"/>
      <c r="I569" s="138"/>
      <c r="J569" s="138"/>
      <c r="K569" s="138"/>
      <c r="L569" s="29"/>
      <c r="M569" s="29"/>
      <c r="N569" s="29"/>
      <c r="O569" s="29"/>
      <c r="P569" s="29"/>
    </row>
    <row r="570" customFormat="false" ht="14.25" hidden="false" customHeight="false" outlineLevel="0" collapsed="false">
      <c r="A570" s="107" t="s">
        <v>508</v>
      </c>
      <c r="B570" s="45" t="s">
        <v>21</v>
      </c>
      <c r="C570" s="54" t="s">
        <v>509</v>
      </c>
      <c r="D570" s="25" t="s">
        <v>510</v>
      </c>
      <c r="E570" s="54" t="s">
        <v>39</v>
      </c>
      <c r="F570" s="23" t="n">
        <v>1</v>
      </c>
      <c r="G570" s="138"/>
      <c r="H570" s="138"/>
      <c r="I570" s="138"/>
      <c r="J570" s="138"/>
      <c r="K570" s="138"/>
      <c r="L570" s="60"/>
      <c r="M570" s="60"/>
      <c r="N570" s="60"/>
      <c r="O570" s="60"/>
      <c r="P570" s="60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</row>
    <row r="571" customFormat="false" ht="14.25" hidden="false" customHeight="false" outlineLevel="0" collapsed="false">
      <c r="A571" s="107" t="s">
        <v>511</v>
      </c>
      <c r="B571" s="45" t="s">
        <v>21</v>
      </c>
      <c r="C571" s="54" t="s">
        <v>512</v>
      </c>
      <c r="D571" s="25" t="s">
        <v>513</v>
      </c>
      <c r="E571" s="54" t="s">
        <v>514</v>
      </c>
      <c r="F571" s="23" t="n">
        <v>33</v>
      </c>
      <c r="G571" s="138"/>
      <c r="H571" s="138"/>
      <c r="I571" s="138"/>
      <c r="J571" s="138"/>
      <c r="K571" s="138"/>
      <c r="L571" s="60"/>
      <c r="M571" s="60"/>
      <c r="N571" s="60"/>
      <c r="O571" s="60"/>
      <c r="P571" s="60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</row>
    <row r="572" customFormat="false" ht="14.25" hidden="false" customHeight="false" outlineLevel="0" collapsed="false">
      <c r="A572" s="107" t="s">
        <v>515</v>
      </c>
      <c r="B572" s="45" t="s">
        <v>21</v>
      </c>
      <c r="C572" s="54" t="s">
        <v>516</v>
      </c>
      <c r="D572" s="25" t="s">
        <v>517</v>
      </c>
      <c r="E572" s="54" t="s">
        <v>24</v>
      </c>
      <c r="F572" s="23" t="n">
        <f aca="false">3*6</f>
        <v>18</v>
      </c>
      <c r="G572" s="138"/>
      <c r="H572" s="138"/>
      <c r="I572" s="138"/>
      <c r="J572" s="138"/>
      <c r="K572" s="138"/>
      <c r="L572" s="60"/>
      <c r="M572" s="60"/>
      <c r="N572" s="60"/>
      <c r="O572" s="60"/>
      <c r="P572" s="60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</row>
    <row r="573" customFormat="false" ht="14.25" hidden="false" customHeight="false" outlineLevel="0" collapsed="false">
      <c r="A573" s="117" t="s">
        <v>97</v>
      </c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29"/>
      <c r="M573" s="29"/>
      <c r="N573" s="29"/>
      <c r="O573" s="29"/>
      <c r="P573" s="29"/>
    </row>
    <row r="574" customFormat="false" ht="14.25" hidden="false" customHeight="false" outlineLevel="0" collapsed="false">
      <c r="A574" s="107" t="s">
        <v>518</v>
      </c>
      <c r="B574" s="30" t="s">
        <v>21</v>
      </c>
      <c r="C574" s="23" t="s">
        <v>99</v>
      </c>
      <c r="D574" s="25" t="s">
        <v>100</v>
      </c>
      <c r="E574" s="23" t="s">
        <v>24</v>
      </c>
      <c r="F574" s="23" t="n">
        <f aca="false">E578</f>
        <v>51</v>
      </c>
      <c r="G574" s="109"/>
      <c r="H574" s="109"/>
      <c r="I574" s="109"/>
      <c r="J574" s="109"/>
      <c r="K574" s="109"/>
      <c r="L574" s="29"/>
      <c r="M574" s="29"/>
      <c r="N574" s="29"/>
      <c r="O574" s="29"/>
      <c r="P574" s="29"/>
    </row>
    <row r="575" customFormat="false" ht="14.25" hidden="false" customHeight="false" outlineLevel="0" collapsed="false">
      <c r="A575" s="150" t="s">
        <v>834</v>
      </c>
      <c r="B575" s="150"/>
      <c r="C575" s="150"/>
      <c r="D575" s="135" t="s">
        <v>835</v>
      </c>
      <c r="E575" s="135"/>
      <c r="F575" s="135"/>
      <c r="G575" s="135"/>
      <c r="H575" s="135"/>
      <c r="I575" s="135"/>
      <c r="J575" s="135"/>
      <c r="K575" s="135"/>
    </row>
    <row r="576" customFormat="false" ht="14.25" hidden="false" customHeight="false" outlineLevel="0" collapsed="false">
      <c r="A576" s="120"/>
      <c r="B576" s="120"/>
      <c r="C576" s="120"/>
      <c r="D576" s="121" t="s">
        <v>836</v>
      </c>
      <c r="E576" s="121" t="s">
        <v>837</v>
      </c>
      <c r="F576" s="121" t="s">
        <v>838</v>
      </c>
      <c r="G576" s="121"/>
      <c r="H576" s="122" t="s">
        <v>839</v>
      </c>
      <c r="I576" s="121" t="s">
        <v>840</v>
      </c>
      <c r="J576" s="124"/>
      <c r="K576" s="140"/>
    </row>
    <row r="577" customFormat="false" ht="14.25" hidden="false" customHeight="false" outlineLevel="0" collapsed="false">
      <c r="A577" s="120"/>
      <c r="B577" s="120"/>
      <c r="C577" s="120"/>
      <c r="D577" s="123"/>
      <c r="E577" s="123" t="n">
        <v>17</v>
      </c>
      <c r="F577" s="123" t="n">
        <v>3</v>
      </c>
      <c r="G577" s="123"/>
      <c r="H577" s="124" t="s">
        <v>841</v>
      </c>
      <c r="I577" s="124" t="n">
        <f aca="false">SUM(E577*F577)</f>
        <v>51</v>
      </c>
      <c r="J577" s="124"/>
      <c r="K577" s="140"/>
    </row>
    <row r="578" customFormat="false" ht="14.25" hidden="false" customHeight="false" outlineLevel="0" collapsed="false">
      <c r="A578" s="120"/>
      <c r="B578" s="120"/>
      <c r="C578" s="120"/>
      <c r="D578" s="121" t="s">
        <v>842</v>
      </c>
      <c r="E578" s="125" t="n">
        <f aca="false">SUM(I577:I577)</f>
        <v>51</v>
      </c>
      <c r="F578" s="125"/>
      <c r="G578" s="125"/>
      <c r="H578" s="126"/>
      <c r="I578" s="126"/>
      <c r="J578" s="126"/>
      <c r="K578" s="126"/>
    </row>
    <row r="579" customFormat="false" ht="14.25" hidden="false" customHeight="false" outlineLevel="0" collapsed="false">
      <c r="A579" s="107" t="s">
        <v>519</v>
      </c>
      <c r="B579" s="24" t="s">
        <v>57</v>
      </c>
      <c r="C579" s="23" t="n">
        <v>92800</v>
      </c>
      <c r="D579" s="25" t="s">
        <v>102</v>
      </c>
      <c r="E579" s="23" t="s">
        <v>103</v>
      </c>
      <c r="F579" s="23" t="n">
        <f aca="false">K584</f>
        <v>54.4544</v>
      </c>
      <c r="G579" s="109"/>
      <c r="H579" s="109"/>
      <c r="I579" s="109"/>
      <c r="J579" s="109"/>
      <c r="K579" s="109"/>
      <c r="L579" s="29"/>
      <c r="M579" s="29"/>
      <c r="N579" s="29"/>
      <c r="O579" s="29"/>
      <c r="P579" s="29"/>
    </row>
    <row r="580" customFormat="false" ht="14.25" hidden="false" customHeight="false" outlineLevel="0" collapsed="false">
      <c r="A580" s="150" t="s">
        <v>834</v>
      </c>
      <c r="B580" s="150"/>
      <c r="C580" s="150"/>
      <c r="D580" s="135" t="s">
        <v>843</v>
      </c>
      <c r="E580" s="135"/>
      <c r="F580" s="135"/>
      <c r="G580" s="135"/>
      <c r="H580" s="135"/>
      <c r="I580" s="135"/>
      <c r="J580" s="135"/>
      <c r="K580" s="135"/>
    </row>
    <row r="581" customFormat="false" ht="14.25" hidden="false" customHeight="false" outlineLevel="0" collapsed="false">
      <c r="A581" s="134"/>
      <c r="B581" s="134"/>
      <c r="C581" s="134"/>
      <c r="D581" s="153" t="s">
        <v>908</v>
      </c>
      <c r="E581" s="172" t="n">
        <f aca="false">D582</f>
        <v>51</v>
      </c>
      <c r="F581" s="172"/>
      <c r="G581" s="172"/>
      <c r="H581" s="172"/>
      <c r="I581" s="172"/>
      <c r="J581" s="172"/>
      <c r="K581" s="155"/>
      <c r="L581" s="29"/>
      <c r="M581" s="29"/>
      <c r="N581" s="2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</row>
    <row r="582" customFormat="false" ht="14.25" hidden="false" customHeight="true" outlineLevel="0" collapsed="false">
      <c r="A582" s="134"/>
      <c r="B582" s="134"/>
      <c r="C582" s="134"/>
      <c r="D582" s="173" t="n">
        <f aca="false">E578</f>
        <v>51</v>
      </c>
      <c r="E582" s="153" t="s">
        <v>844</v>
      </c>
      <c r="F582" s="153"/>
      <c r="G582" s="153"/>
      <c r="H582" s="153"/>
      <c r="I582" s="153"/>
      <c r="J582" s="153"/>
      <c r="K582" s="137" t="n">
        <f aca="false">SUM(E581/0.15)</f>
        <v>340</v>
      </c>
      <c r="L582" s="29"/>
      <c r="M582" s="29"/>
      <c r="N582" s="2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</row>
    <row r="583" customFormat="false" ht="14.25" hidden="false" customHeight="true" outlineLevel="0" collapsed="false">
      <c r="A583" s="134"/>
      <c r="B583" s="134"/>
      <c r="C583" s="134"/>
      <c r="D583" s="134"/>
      <c r="E583" s="153" t="s">
        <v>845</v>
      </c>
      <c r="F583" s="153"/>
      <c r="G583" s="153"/>
      <c r="H583" s="153"/>
      <c r="I583" s="153"/>
      <c r="J583" s="153"/>
      <c r="K583" s="137" t="n">
        <f aca="false">SUM(K582*1.04)</f>
        <v>353.6</v>
      </c>
      <c r="L583" s="29"/>
      <c r="M583" s="29"/>
      <c r="N583" s="2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</row>
    <row r="584" customFormat="false" ht="14.25" hidden="false" customHeight="true" outlineLevel="0" collapsed="false">
      <c r="A584" s="134"/>
      <c r="B584" s="134"/>
      <c r="C584" s="134"/>
      <c r="D584" s="134"/>
      <c r="E584" s="153" t="s">
        <v>846</v>
      </c>
      <c r="F584" s="153"/>
      <c r="G584" s="153"/>
      <c r="H584" s="153"/>
      <c r="I584" s="153"/>
      <c r="J584" s="153"/>
      <c r="K584" s="135" t="n">
        <f aca="false">SUM(K583*0.154)</f>
        <v>54.4544</v>
      </c>
      <c r="L584" s="29"/>
      <c r="M584" s="29"/>
      <c r="N584" s="2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</row>
    <row r="585" customFormat="false" ht="14.25" hidden="false" customHeight="false" outlineLevel="0" collapsed="false">
      <c r="A585" s="107" t="s">
        <v>520</v>
      </c>
      <c r="B585" s="24" t="s">
        <v>57</v>
      </c>
      <c r="C585" s="23" t="n">
        <v>92803</v>
      </c>
      <c r="D585" s="25" t="s">
        <v>105</v>
      </c>
      <c r="E585" s="23" t="s">
        <v>103</v>
      </c>
      <c r="F585" s="23" t="n">
        <f aca="false">K588</f>
        <v>125.868</v>
      </c>
      <c r="G585" s="109"/>
      <c r="H585" s="109"/>
      <c r="I585" s="109"/>
      <c r="J585" s="109"/>
      <c r="K585" s="109"/>
      <c r="L585" s="29"/>
      <c r="M585" s="29"/>
      <c r="N585" s="29"/>
      <c r="O585" s="29"/>
      <c r="P585" s="2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customFormat="false" ht="14.25" hidden="false" customHeight="false" outlineLevel="0" collapsed="false">
      <c r="A586" s="134"/>
      <c r="B586" s="134"/>
      <c r="C586" s="134"/>
      <c r="D586" s="134"/>
      <c r="E586" s="131" t="n">
        <f aca="false">E578</f>
        <v>51</v>
      </c>
      <c r="F586" s="131"/>
      <c r="G586" s="131"/>
      <c r="H586" s="131"/>
      <c r="I586" s="131"/>
      <c r="J586" s="131"/>
      <c r="K586" s="130"/>
      <c r="L586" s="29"/>
      <c r="M586" s="29"/>
      <c r="N586" s="2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</row>
    <row r="587" customFormat="false" ht="14.25" hidden="false" customHeight="true" outlineLevel="0" collapsed="false">
      <c r="A587" s="134"/>
      <c r="B587" s="134"/>
      <c r="C587" s="134"/>
      <c r="D587" s="134"/>
      <c r="E587" s="131" t="s">
        <v>847</v>
      </c>
      <c r="F587" s="131"/>
      <c r="G587" s="131"/>
      <c r="H587" s="131"/>
      <c r="I587" s="131"/>
      <c r="J587" s="131"/>
      <c r="K587" s="132" t="n">
        <f aca="false">SUM(E586*4)</f>
        <v>204</v>
      </c>
      <c r="L587" s="29"/>
      <c r="M587" s="29"/>
      <c r="N587" s="2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</row>
    <row r="588" customFormat="false" ht="14.25" hidden="false" customHeight="true" outlineLevel="0" collapsed="false">
      <c r="A588" s="134"/>
      <c r="B588" s="134"/>
      <c r="C588" s="134"/>
      <c r="D588" s="134"/>
      <c r="E588" s="131" t="s">
        <v>848</v>
      </c>
      <c r="F588" s="131"/>
      <c r="G588" s="131"/>
      <c r="H588" s="131"/>
      <c r="I588" s="131"/>
      <c r="J588" s="131"/>
      <c r="K588" s="132" t="n">
        <f aca="false">SUM(K587*0.617)</f>
        <v>125.868</v>
      </c>
      <c r="L588" s="29"/>
      <c r="M588" s="29"/>
      <c r="N588" s="2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</row>
    <row r="589" customFormat="false" ht="14.9" hidden="false" customHeight="false" outlineLevel="0" collapsed="false">
      <c r="A589" s="107" t="s">
        <v>521</v>
      </c>
      <c r="B589" s="24" t="s">
        <v>57</v>
      </c>
      <c r="C589" s="23" t="n">
        <v>96526</v>
      </c>
      <c r="D589" s="25" t="s">
        <v>107</v>
      </c>
      <c r="E589" s="23" t="s">
        <v>49</v>
      </c>
      <c r="F589" s="23" t="n">
        <f aca="false">I592</f>
        <v>4.032</v>
      </c>
      <c r="G589" s="109"/>
      <c r="H589" s="109"/>
      <c r="I589" s="109"/>
      <c r="J589" s="109"/>
      <c r="K589" s="109"/>
      <c r="L589" s="29"/>
      <c r="M589" s="29"/>
      <c r="N589" s="29"/>
      <c r="O589" s="29"/>
      <c r="P589" s="29"/>
    </row>
    <row r="590" customFormat="false" ht="14.25" hidden="false" customHeight="false" outlineLevel="0" collapsed="false">
      <c r="A590" s="107"/>
      <c r="B590" s="107"/>
      <c r="C590" s="107"/>
      <c r="D590" s="107"/>
      <c r="E590" s="107"/>
      <c r="F590" s="107"/>
      <c r="G590" s="107"/>
      <c r="H590" s="107"/>
      <c r="I590" s="135" t="s">
        <v>849</v>
      </c>
      <c r="J590" s="135"/>
      <c r="K590" s="135"/>
    </row>
    <row r="591" customFormat="false" ht="14.25" hidden="false" customHeight="false" outlineLevel="0" collapsed="false">
      <c r="A591" s="174"/>
      <c r="B591" s="174"/>
      <c r="C591" s="174"/>
      <c r="D591" s="174"/>
      <c r="E591" s="174"/>
      <c r="F591" s="174"/>
      <c r="G591" s="174"/>
      <c r="H591" s="123" t="n">
        <v>33.6</v>
      </c>
      <c r="I591" s="135" t="n">
        <f aca="false">H591*0.3*0.4</f>
        <v>4.032</v>
      </c>
      <c r="J591" s="135"/>
      <c r="K591" s="135"/>
    </row>
    <row r="592" customFormat="false" ht="14.25" hidden="false" customHeight="false" outlineLevel="0" collapsed="false">
      <c r="A592" s="134"/>
      <c r="B592" s="134"/>
      <c r="C592" s="134"/>
      <c r="D592" s="134"/>
      <c r="E592" s="136" t="s">
        <v>851</v>
      </c>
      <c r="F592" s="136"/>
      <c r="G592" s="136"/>
      <c r="H592" s="136"/>
      <c r="I592" s="137" t="n">
        <f aca="false">SUM(I591:K591)</f>
        <v>4.032</v>
      </c>
      <c r="J592" s="137"/>
      <c r="K592" s="137"/>
    </row>
    <row r="593" customFormat="false" ht="14.9" hidden="false" customHeight="false" outlineLevel="0" collapsed="false">
      <c r="A593" s="107" t="s">
        <v>522</v>
      </c>
      <c r="B593" s="24" t="s">
        <v>57</v>
      </c>
      <c r="C593" s="23" t="n">
        <v>101619</v>
      </c>
      <c r="D593" s="25" t="s">
        <v>109</v>
      </c>
      <c r="E593" s="23" t="s">
        <v>49</v>
      </c>
      <c r="F593" s="23" t="n">
        <f aca="false">SUM(E594:E594)</f>
        <v>1.008</v>
      </c>
      <c r="G593" s="138"/>
      <c r="H593" s="138"/>
      <c r="I593" s="138"/>
      <c r="J593" s="138"/>
      <c r="K593" s="138"/>
      <c r="L593" s="29"/>
      <c r="M593" s="29"/>
      <c r="N593" s="29"/>
      <c r="O593" s="29"/>
      <c r="P593" s="29"/>
    </row>
    <row r="594" customFormat="false" ht="14.25" hidden="false" customHeight="false" outlineLevel="0" collapsed="false">
      <c r="A594" s="107"/>
      <c r="B594" s="107"/>
      <c r="C594" s="107"/>
      <c r="D594" s="107"/>
      <c r="E594" s="123" t="n">
        <f aca="false">H591*0.3*0.1</f>
        <v>1.008</v>
      </c>
      <c r="F594" s="23"/>
      <c r="G594" s="138"/>
      <c r="H594" s="138"/>
      <c r="I594" s="138"/>
      <c r="J594" s="138"/>
      <c r="K594" s="138"/>
      <c r="L594" s="29"/>
      <c r="M594" s="29"/>
      <c r="N594" s="29"/>
      <c r="O594" s="29"/>
      <c r="P594" s="29"/>
    </row>
    <row r="595" customFormat="false" ht="14.25" hidden="false" customHeight="false" outlineLevel="0" collapsed="false">
      <c r="A595" s="107" t="s">
        <v>523</v>
      </c>
      <c r="B595" s="24" t="s">
        <v>57</v>
      </c>
      <c r="C595" s="23" t="n">
        <v>92800</v>
      </c>
      <c r="D595" s="25" t="s">
        <v>102</v>
      </c>
      <c r="E595" s="23" t="s">
        <v>103</v>
      </c>
      <c r="F595" s="23" t="n">
        <f aca="false">K599+K1506+K1511</f>
        <v>49.67424</v>
      </c>
      <c r="G595" s="138"/>
      <c r="H595" s="138"/>
      <c r="I595" s="138"/>
      <c r="J595" s="138"/>
      <c r="K595" s="138"/>
      <c r="L595" s="29"/>
      <c r="M595" s="29"/>
      <c r="N595" s="29"/>
      <c r="O595" s="29"/>
      <c r="P595" s="29"/>
    </row>
    <row r="596" customFormat="false" ht="14.25" hidden="false" customHeight="false" outlineLevel="0" collapsed="false">
      <c r="A596" s="157"/>
      <c r="B596" s="157"/>
      <c r="C596" s="157"/>
      <c r="D596" s="131"/>
      <c r="E596" s="131" t="n">
        <f aca="false">SUM(H591:H591)</f>
        <v>33.6</v>
      </c>
      <c r="F596" s="131"/>
      <c r="G596" s="131"/>
      <c r="H596" s="131"/>
      <c r="I596" s="131"/>
      <c r="J596" s="131"/>
      <c r="K596" s="130"/>
      <c r="L596" s="29"/>
      <c r="M596" s="29"/>
      <c r="N596" s="2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</row>
    <row r="597" customFormat="false" ht="14.25" hidden="false" customHeight="true" outlineLevel="0" collapsed="false">
      <c r="A597" s="148"/>
      <c r="B597" s="148"/>
      <c r="C597" s="148"/>
      <c r="D597" s="141"/>
      <c r="E597" s="131" t="s">
        <v>852</v>
      </c>
      <c r="F597" s="131"/>
      <c r="G597" s="131"/>
      <c r="H597" s="131"/>
      <c r="I597" s="131"/>
      <c r="J597" s="131"/>
      <c r="K597" s="132" t="n">
        <f aca="false">SUM(E596/0.15)</f>
        <v>224</v>
      </c>
      <c r="L597" s="29"/>
      <c r="M597" s="29"/>
      <c r="N597" s="2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</row>
    <row r="598" customFormat="false" ht="14.25" hidden="false" customHeight="true" outlineLevel="0" collapsed="false">
      <c r="A598" s="157"/>
      <c r="B598" s="157"/>
      <c r="C598" s="157"/>
      <c r="D598" s="157"/>
      <c r="E598" s="131" t="s">
        <v>853</v>
      </c>
      <c r="F598" s="131"/>
      <c r="G598" s="131"/>
      <c r="H598" s="131"/>
      <c r="I598" s="131"/>
      <c r="J598" s="131"/>
      <c r="K598" s="132" t="n">
        <f aca="false">SUM(K597*1.44)</f>
        <v>322.56</v>
      </c>
      <c r="L598" s="29"/>
      <c r="M598" s="29"/>
      <c r="N598" s="2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</row>
    <row r="599" customFormat="false" ht="14.25" hidden="false" customHeight="true" outlineLevel="0" collapsed="false">
      <c r="A599" s="157"/>
      <c r="B599" s="157"/>
      <c r="C599" s="157"/>
      <c r="D599" s="157"/>
      <c r="E599" s="131" t="s">
        <v>854</v>
      </c>
      <c r="F599" s="131"/>
      <c r="G599" s="131"/>
      <c r="H599" s="131"/>
      <c r="I599" s="131"/>
      <c r="J599" s="131"/>
      <c r="K599" s="133" t="n">
        <f aca="false">SUM(K598*0.154)</f>
        <v>49.67424</v>
      </c>
      <c r="L599" s="29"/>
      <c r="M599" s="29"/>
      <c r="N599" s="2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</row>
    <row r="600" customFormat="false" ht="14.25" hidden="false" customHeight="false" outlineLevel="0" collapsed="false">
      <c r="A600" s="107" t="s">
        <v>524</v>
      </c>
      <c r="B600" s="24" t="s">
        <v>57</v>
      </c>
      <c r="C600" s="23" t="n">
        <v>92803</v>
      </c>
      <c r="D600" s="25" t="s">
        <v>105</v>
      </c>
      <c r="E600" s="23" t="s">
        <v>103</v>
      </c>
      <c r="F600" s="23" t="n">
        <f aca="false">K603</f>
        <v>82.9248</v>
      </c>
      <c r="G600" s="109"/>
      <c r="H600" s="109"/>
      <c r="I600" s="109"/>
      <c r="J600" s="109"/>
      <c r="K600" s="109"/>
      <c r="L600" s="29"/>
      <c r="M600" s="29"/>
      <c r="N600" s="29"/>
      <c r="O600" s="29"/>
      <c r="P600" s="2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customFormat="false" ht="14.25" hidden="false" customHeight="false" outlineLevel="0" collapsed="false">
      <c r="A601" s="157"/>
      <c r="B601" s="157"/>
      <c r="C601" s="157"/>
      <c r="D601" s="131"/>
      <c r="E601" s="131" t="n">
        <f aca="false">E596</f>
        <v>33.6</v>
      </c>
      <c r="F601" s="131"/>
      <c r="G601" s="131"/>
      <c r="H601" s="131"/>
      <c r="I601" s="131"/>
      <c r="J601" s="131"/>
      <c r="K601" s="130"/>
      <c r="L601" s="29"/>
      <c r="M601" s="29"/>
      <c r="N601" s="2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</row>
    <row r="602" customFormat="false" ht="14.25" hidden="false" customHeight="true" outlineLevel="0" collapsed="false">
      <c r="A602" s="148"/>
      <c r="B602" s="148"/>
      <c r="C602" s="148"/>
      <c r="D602" s="141"/>
      <c r="E602" s="131" t="s">
        <v>855</v>
      </c>
      <c r="F602" s="131"/>
      <c r="G602" s="131"/>
      <c r="H602" s="131"/>
      <c r="I602" s="131"/>
      <c r="J602" s="131"/>
      <c r="K602" s="132" t="n">
        <f aca="false">SUM(E601*4)</f>
        <v>134.4</v>
      </c>
      <c r="L602" s="29"/>
      <c r="M602" s="29"/>
      <c r="N602" s="2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</row>
    <row r="603" customFormat="false" ht="14.25" hidden="false" customHeight="true" outlineLevel="0" collapsed="false">
      <c r="A603" s="157"/>
      <c r="B603" s="157"/>
      <c r="C603" s="157"/>
      <c r="D603" s="157"/>
      <c r="E603" s="131" t="s">
        <v>856</v>
      </c>
      <c r="F603" s="131"/>
      <c r="G603" s="131"/>
      <c r="H603" s="131"/>
      <c r="I603" s="131"/>
      <c r="J603" s="131"/>
      <c r="K603" s="132" t="n">
        <f aca="false">SUM(K602*0.617)</f>
        <v>82.9248</v>
      </c>
      <c r="L603" s="29"/>
      <c r="M603" s="29"/>
      <c r="N603" s="2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</row>
    <row r="604" customFormat="false" ht="14.9" hidden="false" customHeight="false" outlineLevel="0" collapsed="false">
      <c r="A604" s="107" t="s">
        <v>525</v>
      </c>
      <c r="B604" s="24" t="s">
        <v>57</v>
      </c>
      <c r="C604" s="23" t="n">
        <v>96557</v>
      </c>
      <c r="D604" s="25" t="s">
        <v>113</v>
      </c>
      <c r="E604" s="23" t="s">
        <v>49</v>
      </c>
      <c r="F604" s="23" t="n">
        <f aca="false">I592</f>
        <v>4.032</v>
      </c>
      <c r="G604" s="138"/>
      <c r="H604" s="138"/>
      <c r="I604" s="138"/>
      <c r="J604" s="138"/>
      <c r="K604" s="138"/>
      <c r="L604" s="29"/>
      <c r="M604" s="29"/>
      <c r="N604" s="29"/>
      <c r="O604" s="29"/>
      <c r="P604" s="2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customFormat="false" ht="14.9" hidden="false" customHeight="false" outlineLevel="0" collapsed="false">
      <c r="A605" s="107" t="s">
        <v>526</v>
      </c>
      <c r="B605" s="24" t="s">
        <v>57</v>
      </c>
      <c r="C605" s="23" t="n">
        <v>101165</v>
      </c>
      <c r="D605" s="25" t="s">
        <v>115</v>
      </c>
      <c r="E605" s="23" t="s">
        <v>49</v>
      </c>
      <c r="F605" s="26" t="n">
        <f aca="false">SUM(E606:E606)</f>
        <v>1.2768</v>
      </c>
      <c r="G605" s="138"/>
      <c r="H605" s="138"/>
      <c r="I605" s="138"/>
      <c r="J605" s="138"/>
      <c r="K605" s="138"/>
      <c r="L605" s="29"/>
      <c r="M605" s="29"/>
      <c r="N605" s="29"/>
      <c r="O605" s="29"/>
      <c r="P605" s="29"/>
    </row>
    <row r="606" customFormat="false" ht="14.25" hidden="false" customHeight="false" outlineLevel="0" collapsed="false">
      <c r="A606" s="107"/>
      <c r="B606" s="107"/>
      <c r="C606" s="107"/>
      <c r="D606" s="107"/>
      <c r="E606" s="123" t="n">
        <f aca="false">E596*0.2*0.19</f>
        <v>1.2768</v>
      </c>
      <c r="F606" s="23"/>
      <c r="G606" s="138"/>
      <c r="H606" s="138"/>
      <c r="I606" s="138"/>
      <c r="J606" s="138"/>
      <c r="K606" s="138"/>
      <c r="L606" s="29"/>
      <c r="M606" s="29"/>
      <c r="N606" s="29"/>
      <c r="O606" s="29"/>
      <c r="P606" s="29"/>
    </row>
    <row r="607" customFormat="false" ht="14.25" hidden="false" customHeight="false" outlineLevel="0" collapsed="false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29"/>
      <c r="M607" s="29"/>
      <c r="N607" s="29"/>
      <c r="O607" s="29"/>
      <c r="P607" s="29"/>
    </row>
    <row r="608" customFormat="false" ht="14.25" hidden="false" customHeight="false" outlineLevel="0" collapsed="false">
      <c r="A608" s="164" t="s">
        <v>607</v>
      </c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29"/>
      <c r="M608" s="29"/>
      <c r="N608" s="29"/>
      <c r="O608" s="29"/>
      <c r="P608" s="29"/>
    </row>
    <row r="609" customFormat="false" ht="21.6" hidden="false" customHeight="false" outlineLevel="0" collapsed="false">
      <c r="A609" s="107" t="s">
        <v>527</v>
      </c>
      <c r="B609" s="24" t="s">
        <v>57</v>
      </c>
      <c r="C609" s="23" t="n">
        <v>92415</v>
      </c>
      <c r="D609" s="25" t="s">
        <v>118</v>
      </c>
      <c r="E609" s="23" t="s">
        <v>19</v>
      </c>
      <c r="F609" s="26" t="n">
        <f aca="false">J614</f>
        <v>14.25</v>
      </c>
      <c r="G609" s="109"/>
      <c r="H609" s="109"/>
      <c r="I609" s="109"/>
      <c r="J609" s="109"/>
      <c r="K609" s="109"/>
      <c r="L609" s="29"/>
      <c r="M609" s="29"/>
      <c r="N609" s="29"/>
      <c r="O609" s="29"/>
      <c r="P609" s="2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customFormat="false" ht="14.25" hidden="false" customHeight="false" outlineLevel="0" collapsed="false">
      <c r="A610" s="150" t="s">
        <v>834</v>
      </c>
      <c r="B610" s="150"/>
      <c r="C610" s="150"/>
      <c r="D610" s="135" t="s">
        <v>843</v>
      </c>
      <c r="E610" s="135"/>
      <c r="F610" s="135"/>
      <c r="G610" s="135"/>
      <c r="H610" s="135"/>
      <c r="I610" s="135"/>
      <c r="J610" s="135"/>
      <c r="K610" s="135"/>
    </row>
    <row r="611" customFormat="false" ht="14.25" hidden="false" customHeight="false" outlineLevel="0" collapsed="false">
      <c r="A611" s="120"/>
      <c r="B611" s="120"/>
      <c r="C611" s="120"/>
      <c r="D611" s="121" t="s">
        <v>836</v>
      </c>
      <c r="E611" s="121" t="s">
        <v>837</v>
      </c>
      <c r="F611" s="121" t="s">
        <v>857</v>
      </c>
      <c r="G611" s="121"/>
      <c r="H611" s="121" t="s">
        <v>859</v>
      </c>
      <c r="I611" s="121"/>
      <c r="J611" s="121" t="s">
        <v>840</v>
      </c>
      <c r="K611" s="139"/>
    </row>
    <row r="612" customFormat="false" ht="14.25" hidden="false" customHeight="false" outlineLevel="0" collapsed="false">
      <c r="A612" s="120"/>
      <c r="B612" s="120"/>
      <c r="C612" s="120"/>
      <c r="D612" s="123"/>
      <c r="E612" s="123" t="n">
        <f aca="false">17-9</f>
        <v>8</v>
      </c>
      <c r="F612" s="123" t="n">
        <v>3</v>
      </c>
      <c r="G612" s="123"/>
      <c r="H612" s="123" t="s">
        <v>861</v>
      </c>
      <c r="I612" s="123"/>
      <c r="J612" s="123" t="n">
        <f aca="false">(F612*0.25)*E612</f>
        <v>6</v>
      </c>
      <c r="K612" s="140" t="n">
        <f aca="false">(F612*0.25*0.25)*E612</f>
        <v>1.5</v>
      </c>
    </row>
    <row r="613" customFormat="false" ht="14.25" hidden="false" customHeight="false" outlineLevel="0" collapsed="false">
      <c r="A613" s="120"/>
      <c r="B613" s="120"/>
      <c r="C613" s="120"/>
      <c r="D613" s="123"/>
      <c r="E613" s="123" t="n">
        <f aca="false">17-E612</f>
        <v>9</v>
      </c>
      <c r="F613" s="123" t="n">
        <v>0.5</v>
      </c>
      <c r="G613" s="123"/>
      <c r="H613" s="123" t="s">
        <v>861</v>
      </c>
      <c r="I613" s="123"/>
      <c r="J613" s="123" t="n">
        <f aca="false">(F613*0.25)*E613</f>
        <v>1.125</v>
      </c>
      <c r="K613" s="140" t="n">
        <f aca="false">(F613*0.25*0.25)*E613</f>
        <v>0.28125</v>
      </c>
    </row>
    <row r="614" customFormat="false" ht="14.25" hidden="false" customHeight="false" outlineLevel="0" collapsed="false">
      <c r="A614" s="120"/>
      <c r="B614" s="120"/>
      <c r="C614" s="120"/>
      <c r="D614" s="121" t="s">
        <v>840</v>
      </c>
      <c r="E614" s="121"/>
      <c r="F614" s="121"/>
      <c r="G614" s="121"/>
      <c r="H614" s="121"/>
      <c r="I614" s="121"/>
      <c r="J614" s="137" t="n">
        <f aca="false">SUM(J612+J613)*2</f>
        <v>14.25</v>
      </c>
      <c r="K614" s="137"/>
    </row>
    <row r="615" customFormat="false" ht="14.25" hidden="false" customHeight="false" outlineLevel="0" collapsed="false">
      <c r="A615" s="107" t="s">
        <v>528</v>
      </c>
      <c r="B615" s="24" t="s">
        <v>57</v>
      </c>
      <c r="C615" s="23" t="n">
        <v>92800</v>
      </c>
      <c r="D615" s="25" t="s">
        <v>102</v>
      </c>
      <c r="E615" s="23" t="s">
        <v>103</v>
      </c>
      <c r="F615" s="23" t="n">
        <f aca="false">SUM(K619+K1373+K1378+K1384+K1389+K1394+K1408+K1413+K1418+K1423+K1456+K1461+K1466+K1470+K1475)</f>
        <v>30.4304</v>
      </c>
      <c r="G615" s="27"/>
      <c r="H615" s="27"/>
      <c r="I615" s="28"/>
      <c r="J615" s="27"/>
      <c r="K615" s="138"/>
      <c r="L615" s="29"/>
      <c r="M615" s="29"/>
      <c r="N615" s="29"/>
      <c r="O615" s="29"/>
      <c r="P615" s="29"/>
    </row>
    <row r="616" customFormat="false" ht="14.25" hidden="false" customHeight="false" outlineLevel="0" collapsed="false">
      <c r="A616" s="157"/>
      <c r="B616" s="157"/>
      <c r="C616" s="157"/>
      <c r="D616" s="131" t="s">
        <v>862</v>
      </c>
      <c r="E616" s="131" t="n">
        <f aca="false">SUM(F612*E612)+(E613*F613)</f>
        <v>28.5</v>
      </c>
      <c r="F616" s="131"/>
      <c r="G616" s="131"/>
      <c r="H616" s="131"/>
      <c r="I616" s="131"/>
      <c r="J616" s="131"/>
      <c r="K616" s="130"/>
      <c r="L616" s="29"/>
      <c r="M616" s="29"/>
      <c r="N616" s="2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</row>
    <row r="617" customFormat="false" ht="14.25" hidden="false" customHeight="true" outlineLevel="0" collapsed="false">
      <c r="A617" s="148"/>
      <c r="B617" s="148"/>
      <c r="C617" s="148"/>
      <c r="D617" s="148"/>
      <c r="E617" s="131" t="s">
        <v>863</v>
      </c>
      <c r="F617" s="131"/>
      <c r="G617" s="131"/>
      <c r="H617" s="131"/>
      <c r="I617" s="131"/>
      <c r="J617" s="131"/>
      <c r="K617" s="132" t="n">
        <f aca="false">SUM(E616/0.15)</f>
        <v>190</v>
      </c>
      <c r="L617" s="29"/>
      <c r="M617" s="29"/>
      <c r="N617" s="2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</row>
    <row r="618" customFormat="false" ht="14.25" hidden="false" customHeight="true" outlineLevel="0" collapsed="false">
      <c r="A618" s="148"/>
      <c r="B618" s="148"/>
      <c r="C618" s="148"/>
      <c r="D618" s="148"/>
      <c r="E618" s="131" t="s">
        <v>864</v>
      </c>
      <c r="F618" s="131"/>
      <c r="G618" s="131"/>
      <c r="H618" s="131"/>
      <c r="I618" s="131"/>
      <c r="J618" s="131"/>
      <c r="K618" s="132" t="n">
        <f aca="false">SUM(K617*1.04)</f>
        <v>197.6</v>
      </c>
      <c r="L618" s="29"/>
      <c r="M618" s="29"/>
      <c r="N618" s="2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</row>
    <row r="619" customFormat="false" ht="14.25" hidden="false" customHeight="true" outlineLevel="0" collapsed="false">
      <c r="A619" s="148"/>
      <c r="B619" s="148"/>
      <c r="C619" s="148"/>
      <c r="D619" s="148"/>
      <c r="E619" s="131" t="s">
        <v>865</v>
      </c>
      <c r="F619" s="131"/>
      <c r="G619" s="131"/>
      <c r="H619" s="131"/>
      <c r="I619" s="131"/>
      <c r="J619" s="131"/>
      <c r="K619" s="133" t="n">
        <f aca="false">SUM(K618*0.154)</f>
        <v>30.4304</v>
      </c>
      <c r="L619" s="29"/>
      <c r="M619" s="29"/>
      <c r="N619" s="2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</row>
    <row r="620" customFormat="false" ht="14.25" hidden="false" customHeight="false" outlineLevel="0" collapsed="false">
      <c r="A620" s="107" t="s">
        <v>529</v>
      </c>
      <c r="B620" s="24" t="s">
        <v>57</v>
      </c>
      <c r="C620" s="23" t="n">
        <v>92803</v>
      </c>
      <c r="D620" s="25" t="s">
        <v>105</v>
      </c>
      <c r="E620" s="23" t="s">
        <v>103</v>
      </c>
      <c r="F620" s="26" t="n">
        <f aca="false">SUM(K623+K1372+K1376+K1381+K1385+K1389+K1393+K1406+K1410+K1414+K1418+K1422+K1454+K1458+K1462)</f>
        <v>70.338</v>
      </c>
      <c r="G620" s="27"/>
      <c r="H620" s="27"/>
      <c r="I620" s="28"/>
      <c r="J620" s="27"/>
      <c r="K620" s="138"/>
      <c r="L620" s="29"/>
      <c r="M620" s="29"/>
      <c r="N620" s="29"/>
      <c r="O620" s="29"/>
      <c r="P620" s="2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customFormat="false" ht="14.25" hidden="false" customHeight="false" outlineLevel="0" collapsed="false">
      <c r="A621" s="157"/>
      <c r="B621" s="157"/>
      <c r="C621" s="157"/>
      <c r="D621" s="131" t="str">
        <f aca="false">D616</f>
        <v>PILARES DE 25 CM</v>
      </c>
      <c r="E621" s="131" t="n">
        <f aca="false">E616</f>
        <v>28.5</v>
      </c>
      <c r="F621" s="131"/>
      <c r="G621" s="131"/>
      <c r="H621" s="131"/>
      <c r="I621" s="131"/>
      <c r="J621" s="131"/>
      <c r="K621" s="130"/>
      <c r="L621" s="29"/>
      <c r="M621" s="29"/>
      <c r="N621" s="2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</row>
    <row r="622" customFormat="false" ht="14.25" hidden="false" customHeight="true" outlineLevel="0" collapsed="false">
      <c r="A622" s="134"/>
      <c r="B622" s="134"/>
      <c r="C622" s="134"/>
      <c r="D622" s="134"/>
      <c r="E622" s="131" t="s">
        <v>866</v>
      </c>
      <c r="F622" s="131"/>
      <c r="G622" s="131"/>
      <c r="H622" s="131"/>
      <c r="I622" s="131"/>
      <c r="J622" s="131"/>
      <c r="K622" s="132" t="n">
        <f aca="false">SUM(E621*4)</f>
        <v>114</v>
      </c>
      <c r="L622" s="29"/>
      <c r="M622" s="29"/>
      <c r="N622" s="2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</row>
    <row r="623" customFormat="false" ht="14.25" hidden="false" customHeight="true" outlineLevel="0" collapsed="false">
      <c r="A623" s="134"/>
      <c r="B623" s="134"/>
      <c r="C623" s="134"/>
      <c r="D623" s="134"/>
      <c r="E623" s="131" t="s">
        <v>867</v>
      </c>
      <c r="F623" s="131"/>
      <c r="G623" s="131"/>
      <c r="H623" s="131"/>
      <c r="I623" s="131"/>
      <c r="J623" s="131"/>
      <c r="K623" s="132" t="n">
        <f aca="false">SUM(K622*0.617)</f>
        <v>70.338</v>
      </c>
      <c r="L623" s="29"/>
      <c r="M623" s="29"/>
      <c r="N623" s="2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</row>
    <row r="624" customFormat="false" ht="14.9" hidden="false" customHeight="false" outlineLevel="0" collapsed="false">
      <c r="A624" s="107" t="s">
        <v>530</v>
      </c>
      <c r="B624" s="24" t="s">
        <v>57</v>
      </c>
      <c r="C624" s="23" t="n">
        <v>103672</v>
      </c>
      <c r="D624" s="25" t="s">
        <v>122</v>
      </c>
      <c r="E624" s="23" t="s">
        <v>49</v>
      </c>
      <c r="F624" s="26" t="n">
        <f aca="false">SUM(K612:K612)</f>
        <v>1.5</v>
      </c>
      <c r="G624" s="27"/>
      <c r="H624" s="27"/>
      <c r="I624" s="28"/>
      <c r="J624" s="27"/>
      <c r="K624" s="138"/>
      <c r="L624" s="29"/>
      <c r="M624" s="29"/>
      <c r="N624" s="29"/>
      <c r="O624" s="29"/>
      <c r="P624" s="29"/>
    </row>
    <row r="625" customFormat="false" ht="14.25" hidden="false" customHeight="false" outlineLevel="0" collapsed="false">
      <c r="A625" s="134"/>
      <c r="B625" s="134"/>
      <c r="C625" s="134"/>
      <c r="D625" s="134"/>
      <c r="E625" s="135" t="n">
        <f aca="false">SUM(E616*0.25*0.25)</f>
        <v>1.78125</v>
      </c>
      <c r="F625" s="135"/>
      <c r="G625" s="135"/>
      <c r="H625" s="135"/>
      <c r="I625" s="135"/>
      <c r="J625" s="135"/>
      <c r="K625" s="135"/>
      <c r="L625" s="29"/>
      <c r="M625" s="29"/>
      <c r="N625" s="29"/>
      <c r="O625" s="29"/>
      <c r="P625" s="29"/>
    </row>
    <row r="626" customFormat="false" ht="21.6" hidden="false" customHeight="false" outlineLevel="0" collapsed="false">
      <c r="A626" s="107" t="s">
        <v>531</v>
      </c>
      <c r="B626" s="24" t="s">
        <v>57</v>
      </c>
      <c r="C626" s="23" t="n">
        <v>103324</v>
      </c>
      <c r="D626" s="25" t="s">
        <v>124</v>
      </c>
      <c r="E626" s="23" t="s">
        <v>19</v>
      </c>
      <c r="F626" s="26" t="n">
        <f aca="false">K630</f>
        <v>44.875</v>
      </c>
      <c r="G626" s="27"/>
      <c r="H626" s="27"/>
      <c r="I626" s="28"/>
      <c r="J626" s="27"/>
      <c r="K626" s="138"/>
      <c r="L626" s="29"/>
      <c r="M626" s="29"/>
      <c r="N626" s="29"/>
      <c r="O626" s="29"/>
      <c r="P626" s="29"/>
    </row>
    <row r="627" customFormat="false" ht="21.6" hidden="false" customHeight="false" outlineLevel="0" collapsed="false">
      <c r="A627" s="134"/>
      <c r="B627" s="134"/>
      <c r="C627" s="134"/>
      <c r="D627" s="142"/>
      <c r="E627" s="123" t="s">
        <v>868</v>
      </c>
      <c r="F627" s="143" t="s">
        <v>909</v>
      </c>
      <c r="G627" s="144" t="s">
        <v>870</v>
      </c>
      <c r="H627" s="144" t="s">
        <v>871</v>
      </c>
      <c r="I627" s="145" t="s">
        <v>872</v>
      </c>
      <c r="J627" s="144" t="s">
        <v>873</v>
      </c>
      <c r="K627" s="146" t="s">
        <v>874</v>
      </c>
    </row>
    <row r="628" customFormat="false" ht="14.25" hidden="false" customHeight="false" outlineLevel="0" collapsed="false">
      <c r="A628" s="134"/>
      <c r="B628" s="134"/>
      <c r="C628" s="134"/>
      <c r="D628" s="153"/>
      <c r="E628" s="123" t="n">
        <v>16</v>
      </c>
      <c r="F628" s="143" t="n">
        <v>3</v>
      </c>
      <c r="G628" s="123" t="n">
        <f aca="false">(0.25*3)*8</f>
        <v>6</v>
      </c>
      <c r="H628" s="143" t="n">
        <v>0</v>
      </c>
      <c r="I628" s="153" t="n">
        <f aca="false">SUM(E628*0.3)</f>
        <v>4.8</v>
      </c>
      <c r="J628" s="143" t="n">
        <f aca="false">G628+H628+I628</f>
        <v>10.8</v>
      </c>
      <c r="K628" s="147" t="n">
        <f aca="false">SUM(E628*F628)-(J628)</f>
        <v>37.2</v>
      </c>
    </row>
    <row r="629" customFormat="false" ht="14.25" hidden="false" customHeight="false" outlineLevel="0" collapsed="false">
      <c r="A629" s="134"/>
      <c r="B629" s="134"/>
      <c r="C629" s="134"/>
      <c r="D629" s="153"/>
      <c r="E629" s="123" t="n">
        <f aca="false">H591-E628</f>
        <v>17.6</v>
      </c>
      <c r="F629" s="143" t="n">
        <f aca="false">F613</f>
        <v>0.5</v>
      </c>
      <c r="G629" s="123" t="n">
        <f aca="false">(0.25*F629)*E613</f>
        <v>1.125</v>
      </c>
      <c r="H629" s="143" t="n">
        <v>0</v>
      </c>
      <c r="I629" s="153" t="n">
        <v>0</v>
      </c>
      <c r="J629" s="143" t="n">
        <f aca="false">G629+H629+I629</f>
        <v>1.125</v>
      </c>
      <c r="K629" s="147" t="n">
        <f aca="false">SUM(E629*F629)-(J629)</f>
        <v>7.675</v>
      </c>
    </row>
    <row r="630" customFormat="false" ht="14.25" hidden="false" customHeight="false" outlineLevel="0" collapsed="false">
      <c r="A630" s="134"/>
      <c r="B630" s="134"/>
      <c r="C630" s="134"/>
      <c r="D630" s="23"/>
      <c r="E630" s="23"/>
      <c r="F630" s="23"/>
      <c r="G630" s="23"/>
      <c r="H630" s="23"/>
      <c r="I630" s="23"/>
      <c r="J630" s="23"/>
      <c r="K630" s="147" t="n">
        <f aca="false">SUM(K628:K629)</f>
        <v>44.875</v>
      </c>
    </row>
    <row r="631" customFormat="false" ht="14.25" hidden="false" customHeight="false" outlineLevel="0" collapsed="false">
      <c r="A631" s="107" t="s">
        <v>532</v>
      </c>
      <c r="B631" s="45" t="s">
        <v>21</v>
      </c>
      <c r="C631" s="54" t="s">
        <v>323</v>
      </c>
      <c r="D631" s="25" t="s">
        <v>324</v>
      </c>
      <c r="E631" s="23" t="s">
        <v>24</v>
      </c>
      <c r="F631" s="26" t="n">
        <f aca="false">ORÇAMENTO!F342</f>
        <v>12.8</v>
      </c>
      <c r="G631" s="109"/>
      <c r="H631" s="109"/>
      <c r="I631" s="109"/>
      <c r="J631" s="109"/>
      <c r="K631" s="109"/>
      <c r="L631" s="29"/>
      <c r="M631" s="29"/>
      <c r="N631" s="29"/>
      <c r="O631" s="29"/>
      <c r="P631" s="29"/>
    </row>
    <row r="632" customFormat="false" ht="21.6" hidden="false" customHeight="false" outlineLevel="0" collapsed="false">
      <c r="A632" s="107" t="s">
        <v>533</v>
      </c>
      <c r="B632" s="24" t="s">
        <v>57</v>
      </c>
      <c r="C632" s="23" t="n">
        <v>92451</v>
      </c>
      <c r="D632" s="25" t="s">
        <v>129</v>
      </c>
      <c r="E632" s="23" t="s">
        <v>19</v>
      </c>
      <c r="F632" s="26" t="n">
        <f aca="false">J635</f>
        <v>12.8</v>
      </c>
      <c r="G632" s="109"/>
      <c r="H632" s="109"/>
      <c r="I632" s="109"/>
      <c r="J632" s="109"/>
      <c r="K632" s="109"/>
      <c r="L632" s="29"/>
      <c r="M632" s="29"/>
      <c r="N632" s="29"/>
      <c r="O632" s="29"/>
      <c r="P632" s="29"/>
    </row>
    <row r="633" customFormat="false" ht="14.25" hidden="false" customHeight="false" outlineLevel="0" collapsed="false">
      <c r="A633" s="150" t="s">
        <v>834</v>
      </c>
      <c r="B633" s="150"/>
      <c r="C633" s="150"/>
      <c r="D633" s="135" t="s">
        <v>843</v>
      </c>
      <c r="E633" s="135"/>
      <c r="F633" s="135"/>
      <c r="G633" s="135"/>
      <c r="H633" s="135"/>
      <c r="I633" s="135"/>
      <c r="J633" s="135"/>
      <c r="K633" s="135"/>
    </row>
    <row r="634" customFormat="false" ht="14.9" hidden="false" customHeight="false" outlineLevel="0" collapsed="false">
      <c r="A634" s="150" t="s">
        <v>877</v>
      </c>
      <c r="B634" s="150"/>
      <c r="C634" s="150"/>
      <c r="D634" s="150"/>
      <c r="E634" s="125" t="s">
        <v>876</v>
      </c>
      <c r="F634" s="125"/>
      <c r="G634" s="125"/>
      <c r="H634" s="121" t="s">
        <v>878</v>
      </c>
      <c r="I634" s="122" t="s">
        <v>879</v>
      </c>
      <c r="J634" s="151" t="s">
        <v>880</v>
      </c>
      <c r="K634" s="175"/>
    </row>
    <row r="635" customFormat="false" ht="14.25" hidden="false" customHeight="false" outlineLevel="0" collapsed="false">
      <c r="A635" s="134"/>
      <c r="B635" s="134"/>
      <c r="C635" s="134"/>
      <c r="D635" s="134"/>
      <c r="E635" s="123" t="n">
        <f aca="false">E628</f>
        <v>16</v>
      </c>
      <c r="F635" s="123"/>
      <c r="G635" s="123"/>
      <c r="H635" s="123" t="n">
        <v>0.4</v>
      </c>
      <c r="I635" s="123" t="n">
        <v>0.25</v>
      </c>
      <c r="J635" s="153" t="n">
        <f aca="false">SUM(E635*H635)*2</f>
        <v>12.8</v>
      </c>
      <c r="K635" s="175"/>
    </row>
    <row r="636" customFormat="false" ht="14.25" hidden="false" customHeight="false" outlineLevel="0" collapsed="false">
      <c r="A636" s="107" t="s">
        <v>534</v>
      </c>
      <c r="B636" s="24" t="s">
        <v>57</v>
      </c>
      <c r="C636" s="23" t="n">
        <v>92800</v>
      </c>
      <c r="D636" s="25" t="s">
        <v>102</v>
      </c>
      <c r="E636" s="23" t="s">
        <v>103</v>
      </c>
      <c r="F636" s="23" t="n">
        <f aca="false">K642</f>
        <v>262.826666666667</v>
      </c>
      <c r="G636" s="109"/>
      <c r="H636" s="109"/>
      <c r="I636" s="109"/>
      <c r="J636" s="109"/>
      <c r="K636" s="109"/>
      <c r="L636" s="29"/>
      <c r="M636" s="29"/>
      <c r="N636" s="29"/>
      <c r="O636" s="29"/>
      <c r="P636" s="29"/>
    </row>
    <row r="637" customFormat="false" ht="14.25" hidden="false" customHeight="false" outlineLevel="0" collapsed="false">
      <c r="A637" s="150" t="s">
        <v>834</v>
      </c>
      <c r="B637" s="150"/>
      <c r="C637" s="150"/>
      <c r="D637" s="135" t="s">
        <v>843</v>
      </c>
      <c r="E637" s="135"/>
      <c r="F637" s="135"/>
      <c r="G637" s="135"/>
      <c r="H637" s="135"/>
      <c r="I637" s="135"/>
      <c r="J637" s="135"/>
      <c r="K637" s="135"/>
    </row>
    <row r="638" customFormat="false" ht="14.25" hidden="false" customHeight="false" outlineLevel="0" collapsed="false">
      <c r="A638" s="120"/>
      <c r="B638" s="120"/>
      <c r="C638" s="120"/>
      <c r="D638" s="121" t="s">
        <v>881</v>
      </c>
      <c r="E638" s="135" t="n">
        <f aca="false">E635</f>
        <v>16</v>
      </c>
      <c r="F638" s="135"/>
      <c r="G638" s="135"/>
      <c r="H638" s="135"/>
      <c r="I638" s="135"/>
      <c r="J638" s="135"/>
      <c r="K638" s="135"/>
    </row>
    <row r="639" customFormat="false" ht="14.25" hidden="false" customHeight="false" outlineLevel="0" collapsed="false">
      <c r="A639" s="120"/>
      <c r="B639" s="120"/>
      <c r="C639" s="120"/>
      <c r="D639" s="153" t="s">
        <v>882</v>
      </c>
      <c r="E639" s="153" t="n">
        <f aca="false">E638</f>
        <v>16</v>
      </c>
      <c r="F639" s="153"/>
      <c r="G639" s="153"/>
      <c r="H639" s="153"/>
      <c r="I639" s="153"/>
      <c r="J639" s="153"/>
      <c r="K639" s="155"/>
      <c r="L639" s="29"/>
      <c r="M639" s="29"/>
      <c r="N639" s="2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</row>
    <row r="640" customFormat="false" ht="14.25" hidden="false" customHeight="true" outlineLevel="0" collapsed="false">
      <c r="A640" s="120"/>
      <c r="B640" s="120"/>
      <c r="C640" s="120"/>
      <c r="D640" s="136" t="n">
        <f aca="false">E635</f>
        <v>16</v>
      </c>
      <c r="E640" s="153" t="s">
        <v>863</v>
      </c>
      <c r="F640" s="153"/>
      <c r="G640" s="153"/>
      <c r="H640" s="153"/>
      <c r="I640" s="153"/>
      <c r="J640" s="153"/>
      <c r="K640" s="137" t="n">
        <f aca="false">SUM(E639/0.15)</f>
        <v>106.666666666667</v>
      </c>
      <c r="L640" s="29"/>
      <c r="M640" s="29"/>
      <c r="N640" s="2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</row>
    <row r="641" customFormat="false" ht="14.25" hidden="false" customHeight="true" outlineLevel="0" collapsed="false">
      <c r="A641" s="120"/>
      <c r="B641" s="120"/>
      <c r="C641" s="120"/>
      <c r="D641" s="156"/>
      <c r="E641" s="153" t="s">
        <v>864</v>
      </c>
      <c r="F641" s="153"/>
      <c r="G641" s="153"/>
      <c r="H641" s="153"/>
      <c r="I641" s="153"/>
      <c r="J641" s="153"/>
      <c r="K641" s="137" t="n">
        <f aca="false">SUM(K640*D640)</f>
        <v>1706.66666666667</v>
      </c>
      <c r="L641" s="29"/>
      <c r="M641" s="29"/>
      <c r="N641" s="2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</row>
    <row r="642" customFormat="false" ht="14.25" hidden="false" customHeight="true" outlineLevel="0" collapsed="false">
      <c r="A642" s="120"/>
      <c r="B642" s="120"/>
      <c r="C642" s="120"/>
      <c r="D642" s="156"/>
      <c r="E642" s="153" t="s">
        <v>865</v>
      </c>
      <c r="F642" s="153"/>
      <c r="G642" s="153"/>
      <c r="H642" s="153"/>
      <c r="I642" s="153"/>
      <c r="J642" s="153"/>
      <c r="K642" s="135" t="n">
        <f aca="false">SUM(K641*0.154)</f>
        <v>262.826666666667</v>
      </c>
      <c r="L642" s="29"/>
      <c r="M642" s="29"/>
      <c r="N642" s="2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</row>
    <row r="643" customFormat="false" ht="14.25" hidden="false" customHeight="false" outlineLevel="0" collapsed="false">
      <c r="A643" s="107" t="s">
        <v>535</v>
      </c>
      <c r="B643" s="24" t="s">
        <v>57</v>
      </c>
      <c r="C643" s="23" t="n">
        <v>92803</v>
      </c>
      <c r="D643" s="25" t="s">
        <v>105</v>
      </c>
      <c r="E643" s="23" t="s">
        <v>103</v>
      </c>
      <c r="F643" s="26" t="n">
        <f aca="false">K646</f>
        <v>39.488</v>
      </c>
      <c r="G643" s="109"/>
      <c r="H643" s="109"/>
      <c r="I643" s="109"/>
      <c r="J643" s="109"/>
      <c r="K643" s="109"/>
      <c r="L643" s="29"/>
      <c r="M643" s="29"/>
      <c r="N643" s="29"/>
      <c r="O643" s="29"/>
      <c r="P643" s="2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customFormat="false" ht="14.25" hidden="false" customHeight="false" outlineLevel="0" collapsed="false">
      <c r="A644" s="134"/>
      <c r="B644" s="134"/>
      <c r="C644" s="134"/>
      <c r="D644" s="131" t="s">
        <v>883</v>
      </c>
      <c r="E644" s="131" t="n">
        <f aca="false">E635</f>
        <v>16</v>
      </c>
      <c r="F644" s="131"/>
      <c r="G644" s="131"/>
      <c r="H644" s="131"/>
      <c r="I644" s="131"/>
      <c r="J644" s="131"/>
      <c r="K644" s="130"/>
      <c r="L644" s="29"/>
      <c r="M644" s="29"/>
      <c r="N644" s="2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</row>
    <row r="645" customFormat="false" ht="14.25" hidden="false" customHeight="true" outlineLevel="0" collapsed="false">
      <c r="A645" s="134"/>
      <c r="B645" s="134"/>
      <c r="C645" s="134"/>
      <c r="D645" s="141"/>
      <c r="E645" s="131" t="s">
        <v>866</v>
      </c>
      <c r="F645" s="131"/>
      <c r="G645" s="131"/>
      <c r="H645" s="131"/>
      <c r="I645" s="131"/>
      <c r="J645" s="131"/>
      <c r="K645" s="132" t="n">
        <f aca="false">SUM(E644*4)</f>
        <v>64</v>
      </c>
      <c r="L645" s="29"/>
      <c r="M645" s="29"/>
      <c r="N645" s="2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</row>
    <row r="646" customFormat="false" ht="14.25" hidden="false" customHeight="true" outlineLevel="0" collapsed="false">
      <c r="A646" s="120"/>
      <c r="B646" s="120"/>
      <c r="C646" s="120"/>
      <c r="D646" s="120"/>
      <c r="E646" s="131" t="s">
        <v>867</v>
      </c>
      <c r="F646" s="131"/>
      <c r="G646" s="131"/>
      <c r="H646" s="131"/>
      <c r="I646" s="131"/>
      <c r="J646" s="131"/>
      <c r="K646" s="132" t="n">
        <f aca="false">SUM(K645*0.617)</f>
        <v>39.488</v>
      </c>
      <c r="L646" s="29"/>
      <c r="M646" s="29"/>
      <c r="N646" s="2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</row>
    <row r="647" customFormat="false" ht="14.25" hidden="false" customHeight="false" outlineLevel="0" collapsed="false">
      <c r="A647" s="107" t="s">
        <v>536</v>
      </c>
      <c r="B647" s="24" t="s">
        <v>57</v>
      </c>
      <c r="C647" s="23" t="n">
        <v>92804</v>
      </c>
      <c r="D647" s="25" t="s">
        <v>133</v>
      </c>
      <c r="E647" s="23" t="s">
        <v>103</v>
      </c>
      <c r="F647" s="26" t="n">
        <f aca="false">K650</f>
        <v>30.816</v>
      </c>
      <c r="G647" s="109"/>
      <c r="H647" s="109"/>
      <c r="I647" s="109"/>
      <c r="J647" s="109"/>
      <c r="K647" s="109"/>
      <c r="L647" s="29"/>
      <c r="M647" s="29"/>
      <c r="N647" s="29"/>
      <c r="O647" s="29"/>
      <c r="P647" s="2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customFormat="false" ht="14.25" hidden="false" customHeight="false" outlineLevel="0" collapsed="false">
      <c r="A648" s="134"/>
      <c r="B648" s="134"/>
      <c r="C648" s="134"/>
      <c r="D648" s="131" t="s">
        <v>883</v>
      </c>
      <c r="E648" s="131" t="n">
        <f aca="false">E644</f>
        <v>16</v>
      </c>
      <c r="F648" s="131"/>
      <c r="G648" s="131"/>
      <c r="H648" s="131"/>
      <c r="I648" s="131"/>
      <c r="J648" s="131"/>
      <c r="K648" s="130"/>
      <c r="L648" s="29"/>
      <c r="M648" s="29"/>
      <c r="N648" s="2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</row>
    <row r="649" customFormat="false" ht="14.25" hidden="false" customHeight="true" outlineLevel="0" collapsed="false">
      <c r="A649" s="134"/>
      <c r="B649" s="134"/>
      <c r="C649" s="134"/>
      <c r="D649" s="141"/>
      <c r="E649" s="131" t="s">
        <v>884</v>
      </c>
      <c r="F649" s="131"/>
      <c r="G649" s="131"/>
      <c r="H649" s="131"/>
      <c r="I649" s="131"/>
      <c r="J649" s="131"/>
      <c r="K649" s="132" t="n">
        <f aca="false">SUM(E648*2)</f>
        <v>32</v>
      </c>
      <c r="L649" s="29"/>
      <c r="M649" s="29"/>
      <c r="N649" s="2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</row>
    <row r="650" customFormat="false" ht="14.25" hidden="false" customHeight="true" outlineLevel="0" collapsed="false">
      <c r="A650" s="120"/>
      <c r="B650" s="120"/>
      <c r="C650" s="120"/>
      <c r="D650" s="120"/>
      <c r="E650" s="131" t="s">
        <v>867</v>
      </c>
      <c r="F650" s="131"/>
      <c r="G650" s="131"/>
      <c r="H650" s="131"/>
      <c r="I650" s="131"/>
      <c r="J650" s="131"/>
      <c r="K650" s="132" t="n">
        <f aca="false">SUM(K649*0.963)</f>
        <v>30.816</v>
      </c>
      <c r="L650" s="29"/>
      <c r="M650" s="29"/>
      <c r="N650" s="2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</row>
    <row r="651" customFormat="false" ht="14.9" hidden="false" customHeight="false" outlineLevel="0" collapsed="false">
      <c r="A651" s="107" t="s">
        <v>537</v>
      </c>
      <c r="B651" s="24" t="s">
        <v>57</v>
      </c>
      <c r="C651" s="23" t="n">
        <v>103675</v>
      </c>
      <c r="D651" s="25" t="s">
        <v>135</v>
      </c>
      <c r="E651" s="23" t="s">
        <v>49</v>
      </c>
      <c r="F651" s="26" t="n">
        <f aca="false">SUM(E653:E653)</f>
        <v>1.6</v>
      </c>
      <c r="G651" s="109"/>
      <c r="H651" s="109"/>
      <c r="I651" s="109"/>
      <c r="J651" s="109"/>
      <c r="K651" s="109"/>
      <c r="L651" s="29"/>
      <c r="M651" s="29"/>
      <c r="N651" s="29"/>
      <c r="O651" s="29"/>
      <c r="P651" s="29"/>
    </row>
    <row r="652" customFormat="false" ht="14.25" hidden="false" customHeight="false" outlineLevel="0" collapsed="false">
      <c r="A652" s="150" t="s">
        <v>834</v>
      </c>
      <c r="B652" s="150"/>
      <c r="C652" s="150"/>
      <c r="D652" s="135" t="s">
        <v>885</v>
      </c>
      <c r="E652" s="135"/>
      <c r="F652" s="135"/>
      <c r="G652" s="135"/>
      <c r="H652" s="135"/>
      <c r="I652" s="135"/>
      <c r="J652" s="135"/>
      <c r="K652" s="135"/>
    </row>
    <row r="653" customFormat="false" ht="14.25" hidden="false" customHeight="false" outlineLevel="0" collapsed="false">
      <c r="A653" s="158"/>
      <c r="B653" s="156"/>
      <c r="C653" s="156"/>
      <c r="D653" s="123" t="s">
        <v>939</v>
      </c>
      <c r="E653" s="123" t="n">
        <f aca="false">SUM(E635*0.25*0.4)</f>
        <v>1.6</v>
      </c>
      <c r="F653" s="153"/>
      <c r="G653" s="153"/>
      <c r="H653" s="153"/>
      <c r="I653" s="153"/>
      <c r="J653" s="153"/>
      <c r="K653" s="137"/>
    </row>
    <row r="654" customFormat="false" ht="14.25" hidden="false" customHeight="false" outlineLevel="0" collapsed="false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52"/>
      <c r="M654" s="52"/>
      <c r="N654" s="52"/>
      <c r="O654" s="52"/>
      <c r="P654" s="52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</row>
    <row r="655" customFormat="false" ht="14.9" hidden="false" customHeight="false" outlineLevel="0" collapsed="false">
      <c r="A655" s="107" t="s">
        <v>538</v>
      </c>
      <c r="B655" s="55" t="s">
        <v>26</v>
      </c>
      <c r="C655" s="48" t="s">
        <v>137</v>
      </c>
      <c r="D655" s="49" t="s">
        <v>138</v>
      </c>
      <c r="E655" s="48" t="s">
        <v>19</v>
      </c>
      <c r="F655" s="50" t="n">
        <f aca="false">ORÇAMENTO!F348</f>
        <v>12</v>
      </c>
      <c r="G655" s="160"/>
      <c r="H655" s="160"/>
      <c r="I655" s="160"/>
      <c r="J655" s="160"/>
      <c r="K655" s="160"/>
      <c r="L655" s="52"/>
      <c r="M655" s="52"/>
      <c r="N655" s="52"/>
      <c r="O655" s="52"/>
      <c r="P655" s="52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</row>
    <row r="656" customFormat="false" ht="14.9" hidden="false" customHeight="false" outlineLevel="0" collapsed="false">
      <c r="A656" s="205" t="s">
        <v>539</v>
      </c>
      <c r="B656" s="206" t="s">
        <v>57</v>
      </c>
      <c r="C656" s="206" t="n">
        <v>87879</v>
      </c>
      <c r="D656" s="207" t="s">
        <v>157</v>
      </c>
      <c r="E656" s="206" t="s">
        <v>19</v>
      </c>
      <c r="F656" s="208" t="n">
        <f aca="false">SUM(E628*F628)*2+(E629*F629)*2+(0.25*0.25*0.25*0.25*3)*E613</f>
        <v>113.70546875</v>
      </c>
      <c r="G656" s="160"/>
      <c r="H656" s="160"/>
      <c r="I656" s="160"/>
      <c r="J656" s="160"/>
      <c r="K656" s="160"/>
    </row>
    <row r="657" customFormat="false" ht="14.25" hidden="false" customHeight="false" outlineLevel="0" collapsed="false">
      <c r="A657" s="107" t="s">
        <v>540</v>
      </c>
      <c r="B657" s="23" t="s">
        <v>21</v>
      </c>
      <c r="C657" s="23" t="s">
        <v>159</v>
      </c>
      <c r="D657" s="25" t="s">
        <v>160</v>
      </c>
      <c r="E657" s="23" t="s">
        <v>19</v>
      </c>
      <c r="F657" s="208" t="n">
        <f aca="false">F656</f>
        <v>113.70546875</v>
      </c>
      <c r="G657" s="160"/>
      <c r="H657" s="160"/>
      <c r="I657" s="160"/>
      <c r="J657" s="160"/>
      <c r="K657" s="160"/>
    </row>
    <row r="658" customFormat="false" ht="14.25" hidden="false" customHeight="false" outlineLevel="0" collapsed="false">
      <c r="A658" s="205" t="s">
        <v>541</v>
      </c>
      <c r="B658" s="206" t="s">
        <v>21</v>
      </c>
      <c r="C658" s="206" t="s">
        <v>162</v>
      </c>
      <c r="D658" s="207" t="s">
        <v>163</v>
      </c>
      <c r="E658" s="206" t="s">
        <v>19</v>
      </c>
      <c r="F658" s="208" t="n">
        <f aca="false">F656</f>
        <v>113.70546875</v>
      </c>
      <c r="G658" s="160"/>
      <c r="H658" s="160"/>
      <c r="I658" s="160"/>
      <c r="J658" s="160"/>
      <c r="K658" s="160"/>
    </row>
    <row r="659" customFormat="false" ht="14.9" hidden="false" customHeight="false" outlineLevel="0" collapsed="false">
      <c r="A659" s="107" t="s">
        <v>542</v>
      </c>
      <c r="B659" s="24" t="s">
        <v>57</v>
      </c>
      <c r="C659" s="23" t="n">
        <v>88411</v>
      </c>
      <c r="D659" s="25" t="s">
        <v>168</v>
      </c>
      <c r="E659" s="23" t="s">
        <v>19</v>
      </c>
      <c r="F659" s="36" t="n">
        <f aca="false">F660</f>
        <v>113.70546875</v>
      </c>
      <c r="G659" s="160"/>
      <c r="H659" s="160"/>
      <c r="I659" s="160"/>
      <c r="J659" s="160"/>
      <c r="K659" s="160"/>
    </row>
    <row r="660" customFormat="false" ht="14.25" hidden="false" customHeight="false" outlineLevel="0" collapsed="false">
      <c r="A660" s="107" t="s">
        <v>542</v>
      </c>
      <c r="B660" s="23" t="s">
        <v>57</v>
      </c>
      <c r="C660" s="23" t="n">
        <v>88489</v>
      </c>
      <c r="D660" s="25" t="s">
        <v>172</v>
      </c>
      <c r="E660" s="23" t="s">
        <v>19</v>
      </c>
      <c r="F660" s="208" t="n">
        <f aca="false">F658</f>
        <v>113.70546875</v>
      </c>
      <c r="G660" s="160"/>
      <c r="H660" s="160"/>
      <c r="I660" s="160"/>
      <c r="J660" s="160"/>
      <c r="K660" s="160"/>
    </row>
    <row r="661" customFormat="false" ht="14.25" hidden="false" customHeight="false" outlineLevel="0" collapsed="false">
      <c r="A661" s="164" t="s">
        <v>940</v>
      </c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29"/>
      <c r="M661" s="29"/>
      <c r="N661" s="29"/>
      <c r="O661" s="29"/>
      <c r="P661" s="29"/>
    </row>
    <row r="662" customFormat="false" ht="14.9" hidden="false" customHeight="false" outlineLevel="0" collapsed="false">
      <c r="A662" s="107" t="s">
        <v>545</v>
      </c>
      <c r="B662" s="24" t="s">
        <v>57</v>
      </c>
      <c r="C662" s="23" t="n">
        <v>88411</v>
      </c>
      <c r="D662" s="25" t="s">
        <v>168</v>
      </c>
      <c r="E662" s="23" t="s">
        <v>19</v>
      </c>
      <c r="F662" s="36" t="n">
        <f aca="false">SUM(I664:I665)</f>
        <v>504</v>
      </c>
      <c r="G662" s="209"/>
      <c r="H662" s="209"/>
      <c r="I662" s="209"/>
      <c r="J662" s="209"/>
      <c r="K662" s="210"/>
    </row>
    <row r="663" customFormat="false" ht="14.25" hidden="false" customHeight="false" outlineLevel="0" collapsed="false">
      <c r="A663" s="150" t="s">
        <v>834</v>
      </c>
      <c r="B663" s="150"/>
      <c r="C663" s="150"/>
      <c r="D663" s="25"/>
      <c r="E663" s="23" t="s">
        <v>377</v>
      </c>
      <c r="F663" s="36" t="s">
        <v>878</v>
      </c>
      <c r="G663" s="37" t="s">
        <v>879</v>
      </c>
      <c r="H663" s="37" t="s">
        <v>941</v>
      </c>
      <c r="I663" s="37" t="s">
        <v>851</v>
      </c>
      <c r="J663" s="209"/>
      <c r="K663" s="210"/>
    </row>
    <row r="664" customFormat="false" ht="14.25" hidden="false" customHeight="false" outlineLevel="0" collapsed="false">
      <c r="A664" s="158"/>
      <c r="B664" s="156"/>
      <c r="C664" s="156"/>
      <c r="D664" s="123" t="s">
        <v>942</v>
      </c>
      <c r="E664" s="123" t="n">
        <v>80</v>
      </c>
      <c r="F664" s="153" t="n">
        <v>3</v>
      </c>
      <c r="G664" s="187" t="n">
        <v>0.25</v>
      </c>
      <c r="H664" s="187" t="n">
        <v>4</v>
      </c>
      <c r="I664" s="187" t="n">
        <f aca="false">SUM(F664*G664*H664)*E664</f>
        <v>240</v>
      </c>
      <c r="J664" s="209"/>
      <c r="K664" s="210"/>
    </row>
    <row r="665" customFormat="false" ht="14.25" hidden="false" customHeight="false" outlineLevel="0" collapsed="false">
      <c r="A665" s="158"/>
      <c r="B665" s="156"/>
      <c r="C665" s="156"/>
      <c r="D665" s="123" t="s">
        <v>943</v>
      </c>
      <c r="E665" s="123" t="n">
        <f aca="false">230+100</f>
        <v>330</v>
      </c>
      <c r="F665" s="153" t="n">
        <v>0.4</v>
      </c>
      <c r="G665" s="187" t="n">
        <v>0</v>
      </c>
      <c r="H665" s="187" t="n">
        <v>2</v>
      </c>
      <c r="I665" s="187" t="n">
        <f aca="false">SUM(E665*F665)*2</f>
        <v>264</v>
      </c>
      <c r="J665" s="209"/>
      <c r="K665" s="210"/>
    </row>
    <row r="666" customFormat="false" ht="14.25" hidden="false" customHeight="false" outlineLevel="0" collapsed="false">
      <c r="A666" s="107" t="s">
        <v>546</v>
      </c>
      <c r="B666" s="24" t="s">
        <v>57</v>
      </c>
      <c r="C666" s="23" t="n">
        <v>88489</v>
      </c>
      <c r="D666" s="25" t="s">
        <v>172</v>
      </c>
      <c r="E666" s="23" t="s">
        <v>19</v>
      </c>
      <c r="F666" s="111" t="n">
        <f aca="false">F662</f>
        <v>504</v>
      </c>
      <c r="G666" s="209"/>
      <c r="H666" s="209"/>
      <c r="I666" s="209"/>
      <c r="J666" s="209"/>
      <c r="K666" s="210"/>
    </row>
    <row r="667" customFormat="false" ht="14.25" hidden="false" customHeight="false" outlineLevel="0" collapsed="false">
      <c r="A667" s="211" t="s">
        <v>548</v>
      </c>
      <c r="B667" s="202"/>
      <c r="C667" s="202"/>
      <c r="D667" s="203" t="s">
        <v>549</v>
      </c>
      <c r="E667" s="203"/>
      <c r="F667" s="203"/>
      <c r="G667" s="203"/>
      <c r="H667" s="203"/>
      <c r="I667" s="203"/>
      <c r="J667" s="203"/>
      <c r="K667" s="204"/>
    </row>
    <row r="668" customFormat="false" ht="14.25" hidden="false" customHeight="false" outlineLevel="0" collapsed="false">
      <c r="A668" s="107" t="s">
        <v>550</v>
      </c>
      <c r="B668" s="23" t="s">
        <v>21</v>
      </c>
      <c r="C668" s="23" t="s">
        <v>551</v>
      </c>
      <c r="D668" s="41" t="s">
        <v>552</v>
      </c>
      <c r="E668" s="23" t="s">
        <v>19</v>
      </c>
      <c r="F668" s="111" t="n">
        <f aca="false">SUM(2*2.65)*2</f>
        <v>10.6</v>
      </c>
      <c r="G668" s="112"/>
      <c r="H668" s="112"/>
      <c r="I668" s="112"/>
      <c r="J668" s="112"/>
      <c r="K668" s="112"/>
    </row>
    <row r="669" customFormat="false" ht="14.25" hidden="false" customHeight="false" outlineLevel="0" collapsed="false">
      <c r="A669" s="107"/>
      <c r="B669" s="23"/>
      <c r="C669" s="23"/>
      <c r="D669" s="41" t="s">
        <v>944</v>
      </c>
      <c r="E669" s="23"/>
      <c r="F669" s="111"/>
      <c r="G669" s="112"/>
      <c r="H669" s="112"/>
      <c r="I669" s="112"/>
      <c r="J669" s="112"/>
      <c r="K669" s="112"/>
    </row>
    <row r="670" customFormat="false" ht="14.25" hidden="false" customHeight="false" outlineLevel="0" collapsed="false">
      <c r="A670" s="195" t="s">
        <v>945</v>
      </c>
      <c r="B670" s="202"/>
      <c r="C670" s="202"/>
      <c r="D670" s="203" t="s">
        <v>554</v>
      </c>
      <c r="E670" s="203"/>
      <c r="F670" s="203"/>
      <c r="G670" s="203"/>
      <c r="H670" s="203"/>
      <c r="I670" s="203"/>
      <c r="J670" s="203"/>
      <c r="K670" s="204"/>
    </row>
    <row r="671" customFormat="false" ht="14.25" hidden="false" customHeight="false" outlineLevel="0" collapsed="false">
      <c r="A671" s="205" t="s">
        <v>555</v>
      </c>
      <c r="B671" s="206" t="s">
        <v>21</v>
      </c>
      <c r="C671" s="206" t="s">
        <v>479</v>
      </c>
      <c r="D671" s="212" t="s">
        <v>480</v>
      </c>
      <c r="E671" s="206" t="s">
        <v>19</v>
      </c>
      <c r="F671" s="208" t="n">
        <f aca="false">SUM(E672:E674)</f>
        <v>82.6</v>
      </c>
      <c r="G671" s="213"/>
      <c r="H671" s="213"/>
      <c r="I671" s="213"/>
      <c r="J671" s="213"/>
      <c r="K671" s="213"/>
    </row>
    <row r="672" customFormat="false" ht="14.25" hidden="false" customHeight="false" outlineLevel="0" collapsed="false">
      <c r="A672" s="120"/>
      <c r="B672" s="120"/>
      <c r="C672" s="120"/>
      <c r="D672" s="214" t="s">
        <v>946</v>
      </c>
      <c r="E672" s="214" t="n">
        <v>11.8</v>
      </c>
      <c r="F672" s="215"/>
      <c r="G672" s="213"/>
      <c r="H672" s="213"/>
      <c r="I672" s="213"/>
      <c r="J672" s="213"/>
      <c r="K672" s="213"/>
    </row>
    <row r="673" customFormat="false" ht="14.25" hidden="false" customHeight="false" outlineLevel="0" collapsed="false">
      <c r="A673" s="120"/>
      <c r="B673" s="120"/>
      <c r="C673" s="120"/>
      <c r="D673" s="214" t="s">
        <v>947</v>
      </c>
      <c r="E673" s="214" t="n">
        <f aca="false">SUM(0.5*11.8)*4*2</f>
        <v>47.2</v>
      </c>
      <c r="F673" s="215"/>
      <c r="G673" s="213"/>
      <c r="H673" s="213"/>
      <c r="I673" s="213"/>
      <c r="J673" s="213"/>
      <c r="K673" s="213"/>
    </row>
    <row r="674" customFormat="false" ht="14.25" hidden="false" customHeight="false" outlineLevel="0" collapsed="false">
      <c r="A674" s="120"/>
      <c r="B674" s="120"/>
      <c r="C674" s="120"/>
      <c r="D674" s="214" t="s">
        <v>948</v>
      </c>
      <c r="E674" s="214" t="n">
        <f aca="false">SUM(0.5*11.8)*4</f>
        <v>23.6</v>
      </c>
      <c r="F674" s="215"/>
      <c r="G674" s="213"/>
      <c r="H674" s="213"/>
      <c r="I674" s="213"/>
      <c r="J674" s="213"/>
      <c r="K674" s="213"/>
    </row>
    <row r="675" customFormat="false" ht="14.25" hidden="false" customHeight="false" outlineLevel="0" collapsed="false">
      <c r="A675" s="107" t="s">
        <v>556</v>
      </c>
      <c r="B675" s="23" t="s">
        <v>21</v>
      </c>
      <c r="C675" s="23" t="s">
        <v>162</v>
      </c>
      <c r="D675" s="25" t="s">
        <v>163</v>
      </c>
      <c r="E675" s="23" t="s">
        <v>19</v>
      </c>
      <c r="F675" s="111" t="n">
        <f aca="false">F671</f>
        <v>82.6</v>
      </c>
      <c r="G675" s="213"/>
      <c r="H675" s="213"/>
      <c r="I675" s="213"/>
      <c r="J675" s="213"/>
      <c r="K675" s="213"/>
    </row>
    <row r="676" customFormat="false" ht="14.25" hidden="false" customHeight="false" outlineLevel="0" collapsed="false">
      <c r="A676" s="205" t="s">
        <v>557</v>
      </c>
      <c r="B676" s="206" t="s">
        <v>57</v>
      </c>
      <c r="C676" s="206" t="n">
        <v>88489</v>
      </c>
      <c r="D676" s="207" t="s">
        <v>172</v>
      </c>
      <c r="E676" s="206" t="s">
        <v>19</v>
      </c>
      <c r="F676" s="208" t="n">
        <f aca="false">F675</f>
        <v>82.6</v>
      </c>
      <c r="G676" s="213"/>
      <c r="H676" s="213"/>
      <c r="I676" s="213"/>
      <c r="J676" s="213"/>
      <c r="K676" s="213"/>
    </row>
    <row r="677" customFormat="false" ht="14.25" hidden="false" customHeight="false" outlineLevel="0" collapsed="false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</row>
    <row r="678" customFormat="false" ht="14.25" hidden="false" customHeight="false" outlineLevel="0" collapsed="false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</row>
    <row r="679" customFormat="false" ht="14.25" hidden="false" customHeight="false" outlineLevel="0" collapsed="false">
      <c r="A679" s="195" t="s">
        <v>559</v>
      </c>
      <c r="B679" s="216" t="s">
        <v>560</v>
      </c>
      <c r="C679" s="216"/>
      <c r="D679" s="216"/>
      <c r="E679" s="216"/>
      <c r="F679" s="216"/>
      <c r="G679" s="216"/>
      <c r="H679" s="216"/>
      <c r="I679" s="216"/>
      <c r="J679" s="216"/>
      <c r="K679" s="216"/>
    </row>
    <row r="680" customFormat="false" ht="14.25" hidden="false" customHeight="false" outlineLevel="0" collapsed="false">
      <c r="A680" s="107" t="s">
        <v>561</v>
      </c>
      <c r="B680" s="30" t="s">
        <v>21</v>
      </c>
      <c r="C680" s="23" t="s">
        <v>281</v>
      </c>
      <c r="D680" s="41" t="s">
        <v>282</v>
      </c>
      <c r="E680" s="23" t="s">
        <v>19</v>
      </c>
      <c r="F680" s="111" t="n">
        <v>563</v>
      </c>
      <c r="G680" s="112"/>
      <c r="H680" s="112"/>
      <c r="I680" s="112"/>
      <c r="J680" s="112"/>
      <c r="K680" s="112"/>
    </row>
    <row r="681" customFormat="false" ht="14.25" hidden="false" customHeight="false" outlineLevel="0" collapsed="false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29"/>
      <c r="M681" s="29"/>
      <c r="N681" s="29"/>
      <c r="O681" s="29"/>
      <c r="P681" s="29"/>
    </row>
    <row r="682" customFormat="false" ht="14.25" hidden="false" customHeight="false" outlineLevel="0" collapsed="false">
      <c r="A682" s="195" t="s">
        <v>563</v>
      </c>
      <c r="B682" s="202"/>
      <c r="C682" s="202"/>
      <c r="D682" s="203" t="s">
        <v>564</v>
      </c>
      <c r="E682" s="203"/>
      <c r="F682" s="203"/>
      <c r="G682" s="203"/>
      <c r="H682" s="203"/>
      <c r="I682" s="203"/>
      <c r="J682" s="203"/>
      <c r="K682" s="204"/>
    </row>
    <row r="683" customFormat="false" ht="14.25" hidden="false" customHeight="false" outlineLevel="0" collapsed="false">
      <c r="A683" s="217" t="s">
        <v>173</v>
      </c>
      <c r="B683" s="217"/>
      <c r="C683" s="217"/>
      <c r="D683" s="217"/>
      <c r="E683" s="217"/>
      <c r="F683" s="217"/>
      <c r="G683" s="217"/>
      <c r="H683" s="217"/>
      <c r="I683" s="217"/>
      <c r="J683" s="217"/>
      <c r="K683" s="217"/>
      <c r="L683" s="29"/>
      <c r="M683" s="29"/>
      <c r="N683" s="29"/>
      <c r="O683" s="29"/>
      <c r="P683" s="29"/>
    </row>
    <row r="684" customFormat="false" ht="14.25" hidden="false" customHeight="false" outlineLevel="0" collapsed="false">
      <c r="A684" s="107" t="s">
        <v>566</v>
      </c>
      <c r="B684" s="23" t="s">
        <v>57</v>
      </c>
      <c r="C684" s="23" t="n">
        <v>97633</v>
      </c>
      <c r="D684" s="41" t="s">
        <v>570</v>
      </c>
      <c r="E684" s="23" t="s">
        <v>19</v>
      </c>
      <c r="F684" s="111" t="n">
        <f aca="false">4.9+4.9+9.2+7.5+27+8+45</f>
        <v>106.5</v>
      </c>
      <c r="G684" s="112"/>
      <c r="H684" s="112"/>
      <c r="I684" s="112"/>
      <c r="J684" s="112"/>
      <c r="K684" s="112"/>
    </row>
    <row r="685" customFormat="false" ht="14.25" hidden="false" customHeight="false" outlineLevel="0" collapsed="false">
      <c r="A685" s="107" t="s">
        <v>569</v>
      </c>
      <c r="B685" s="23" t="s">
        <v>26</v>
      </c>
      <c r="C685" s="23" t="s">
        <v>572</v>
      </c>
      <c r="D685" s="25" t="s">
        <v>573</v>
      </c>
      <c r="E685" s="23" t="s">
        <v>49</v>
      </c>
      <c r="F685" s="26" t="n">
        <f aca="false">205*0.15</f>
        <v>30.75</v>
      </c>
      <c r="G685" s="112"/>
      <c r="H685" s="112"/>
      <c r="I685" s="112"/>
      <c r="J685" s="112"/>
      <c r="K685" s="112"/>
    </row>
    <row r="686" customFormat="false" ht="14.25" hidden="false" customHeight="false" outlineLevel="0" collapsed="false">
      <c r="A686" s="107" t="s">
        <v>571</v>
      </c>
      <c r="B686" s="23" t="s">
        <v>21</v>
      </c>
      <c r="C686" s="23" t="s">
        <v>254</v>
      </c>
      <c r="D686" s="25" t="s">
        <v>255</v>
      </c>
      <c r="E686" s="23" t="s">
        <v>575</v>
      </c>
      <c r="F686" s="26" t="n">
        <f aca="false">SUM(F684*0.03)+F685</f>
        <v>33.945</v>
      </c>
      <c r="G686" s="112"/>
      <c r="H686" s="112"/>
      <c r="I686" s="112"/>
      <c r="J686" s="112"/>
      <c r="K686" s="112"/>
    </row>
    <row r="687" customFormat="false" ht="14.25" hidden="false" customHeight="false" outlineLevel="0" collapsed="false">
      <c r="A687" s="107" t="s">
        <v>574</v>
      </c>
      <c r="B687" s="23" t="s">
        <v>21</v>
      </c>
      <c r="C687" s="23" t="s">
        <v>577</v>
      </c>
      <c r="D687" s="25" t="s">
        <v>578</v>
      </c>
      <c r="E687" s="23" t="s">
        <v>84</v>
      </c>
      <c r="F687" s="23" t="n">
        <f aca="false">F686*30</f>
        <v>1018.35</v>
      </c>
      <c r="G687" s="112"/>
      <c r="H687" s="112"/>
      <c r="I687" s="112"/>
      <c r="J687" s="112"/>
      <c r="K687" s="112"/>
    </row>
    <row r="688" customFormat="false" ht="14.9" hidden="false" customHeight="false" outlineLevel="0" collapsed="false">
      <c r="A688" s="107" t="s">
        <v>576</v>
      </c>
      <c r="B688" s="23" t="s">
        <v>57</v>
      </c>
      <c r="C688" s="23" t="n">
        <v>87257</v>
      </c>
      <c r="D688" s="25" t="s">
        <v>185</v>
      </c>
      <c r="E688" s="23" t="s">
        <v>19</v>
      </c>
      <c r="F688" s="26" t="n">
        <f aca="false">F684</f>
        <v>106.5</v>
      </c>
      <c r="G688" s="112"/>
      <c r="H688" s="112"/>
      <c r="I688" s="112"/>
      <c r="J688" s="112"/>
      <c r="K688" s="112"/>
      <c r="L688" s="29"/>
      <c r="M688" s="29"/>
      <c r="N688" s="29"/>
      <c r="O688" s="29"/>
      <c r="P688" s="29"/>
    </row>
    <row r="689" customFormat="false" ht="14.9" hidden="false" customHeight="false" outlineLevel="0" collapsed="false">
      <c r="A689" s="107" t="s">
        <v>579</v>
      </c>
      <c r="B689" s="23" t="s">
        <v>57</v>
      </c>
      <c r="C689" s="23" t="n">
        <v>88650</v>
      </c>
      <c r="D689" s="25" t="s">
        <v>187</v>
      </c>
      <c r="E689" s="23" t="s">
        <v>24</v>
      </c>
      <c r="F689" s="26" t="n">
        <f aca="false">ORÇAMENTO!F382</f>
        <v>129.4</v>
      </c>
      <c r="G689" s="112"/>
      <c r="H689" s="112"/>
      <c r="I689" s="112"/>
      <c r="J689" s="112"/>
      <c r="K689" s="112"/>
      <c r="L689" s="29"/>
      <c r="M689" s="29"/>
      <c r="N689" s="29"/>
      <c r="O689" s="29"/>
      <c r="P689" s="29"/>
    </row>
    <row r="690" customFormat="false" ht="14.9" hidden="false" customHeight="false" outlineLevel="0" collapsed="false">
      <c r="A690" s="107" t="s">
        <v>580</v>
      </c>
      <c r="B690" s="23" t="s">
        <v>64</v>
      </c>
      <c r="C690" s="23" t="n">
        <v>96624</v>
      </c>
      <c r="D690" s="25" t="s">
        <v>175</v>
      </c>
      <c r="E690" s="23" t="s">
        <v>49</v>
      </c>
      <c r="F690" s="26" t="n">
        <f aca="false">ORÇAMENTO!F383</f>
        <v>5.325</v>
      </c>
      <c r="G690" s="112"/>
      <c r="H690" s="112"/>
      <c r="I690" s="112"/>
      <c r="J690" s="112"/>
      <c r="K690" s="112"/>
      <c r="L690" s="29"/>
      <c r="M690" s="42"/>
      <c r="N690" s="29"/>
      <c r="O690" s="29"/>
      <c r="P690" s="29"/>
    </row>
    <row r="691" customFormat="false" ht="14.25" hidden="false" customHeight="false" outlineLevel="0" collapsed="false">
      <c r="A691" s="107" t="s">
        <v>581</v>
      </c>
      <c r="B691" s="23" t="s">
        <v>64</v>
      </c>
      <c r="C691" s="23" t="n">
        <v>97113</v>
      </c>
      <c r="D691" s="25" t="s">
        <v>65</v>
      </c>
      <c r="E691" s="23" t="s">
        <v>19</v>
      </c>
      <c r="F691" s="26" t="n">
        <f aca="false">ORÇAMENTO!F384</f>
        <v>106.5</v>
      </c>
      <c r="G691" s="112"/>
      <c r="H691" s="112"/>
      <c r="I691" s="112"/>
      <c r="J691" s="112"/>
      <c r="K691" s="112"/>
      <c r="L691" s="29"/>
      <c r="M691" s="42"/>
      <c r="N691" s="29"/>
      <c r="O691" s="29"/>
      <c r="P691" s="29"/>
    </row>
    <row r="692" customFormat="false" ht="14.9" hidden="false" customHeight="false" outlineLevel="0" collapsed="false">
      <c r="A692" s="107" t="s">
        <v>582</v>
      </c>
      <c r="B692" s="23" t="s">
        <v>64</v>
      </c>
      <c r="C692" s="23" t="n">
        <v>90930</v>
      </c>
      <c r="D692" s="25" t="s">
        <v>584</v>
      </c>
      <c r="E692" s="23" t="s">
        <v>19</v>
      </c>
      <c r="F692" s="26" t="n">
        <f aca="false">ORÇAMENTO!F385</f>
        <v>106.5</v>
      </c>
      <c r="G692" s="112"/>
      <c r="H692" s="112"/>
      <c r="I692" s="112"/>
      <c r="J692" s="112"/>
      <c r="K692" s="112"/>
      <c r="L692" s="29"/>
      <c r="M692" s="42"/>
      <c r="N692" s="29"/>
      <c r="O692" s="29"/>
      <c r="P692" s="29"/>
    </row>
    <row r="693" customFormat="false" ht="14.25" hidden="false" customHeight="false" outlineLevel="0" collapsed="false">
      <c r="A693" s="107" t="s">
        <v>583</v>
      </c>
      <c r="B693" s="23" t="s">
        <v>21</v>
      </c>
      <c r="C693" s="23" t="s">
        <v>586</v>
      </c>
      <c r="D693" s="25" t="s">
        <v>587</v>
      </c>
      <c r="E693" s="23" t="s">
        <v>19</v>
      </c>
      <c r="F693" s="26" t="n">
        <f aca="false">ORÇAMENTO!F386</f>
        <v>4.5</v>
      </c>
      <c r="G693" s="112"/>
      <c r="H693" s="112"/>
      <c r="I693" s="112"/>
      <c r="J693" s="112"/>
      <c r="K693" s="112"/>
      <c r="L693" s="29"/>
      <c r="M693" s="29"/>
      <c r="N693" s="29"/>
      <c r="O693" s="29"/>
      <c r="P693" s="29"/>
    </row>
    <row r="694" customFormat="false" ht="14.25" hidden="false" customHeight="false" outlineLevel="0" collapsed="false">
      <c r="A694" s="107" t="s">
        <v>585</v>
      </c>
      <c r="B694" s="23" t="s">
        <v>21</v>
      </c>
      <c r="C694" s="23" t="s">
        <v>589</v>
      </c>
      <c r="D694" s="25" t="s">
        <v>590</v>
      </c>
      <c r="E694" s="23" t="s">
        <v>19</v>
      </c>
      <c r="F694" s="26" t="n">
        <f aca="false">ORÇAMENTO!F387</f>
        <v>12.5</v>
      </c>
      <c r="G694" s="112"/>
      <c r="H694" s="112"/>
      <c r="I694" s="112"/>
      <c r="J694" s="112"/>
      <c r="K694" s="112"/>
      <c r="L694" s="29"/>
      <c r="M694" s="42"/>
      <c r="N694" s="29"/>
      <c r="O694" s="29"/>
      <c r="P694" s="29"/>
    </row>
    <row r="695" customFormat="false" ht="14.9" hidden="false" customHeight="false" outlineLevel="0" collapsed="false">
      <c r="A695" s="107" t="s">
        <v>588</v>
      </c>
      <c r="B695" s="23" t="s">
        <v>64</v>
      </c>
      <c r="C695" s="23" t="n">
        <v>102491</v>
      </c>
      <c r="D695" s="25" t="s">
        <v>592</v>
      </c>
      <c r="E695" s="23" t="s">
        <v>19</v>
      </c>
      <c r="F695" s="26" t="n">
        <f aca="false">ORÇAMENTO!F388</f>
        <v>205</v>
      </c>
      <c r="G695" s="112"/>
      <c r="H695" s="112"/>
      <c r="I695" s="112"/>
      <c r="J695" s="112"/>
      <c r="K695" s="112"/>
      <c r="L695" s="29"/>
      <c r="M695" s="42"/>
      <c r="N695" s="29"/>
      <c r="O695" s="29"/>
      <c r="P695" s="29"/>
    </row>
    <row r="696" customFormat="false" ht="14.25" hidden="false" customHeight="false" outlineLevel="0" collapsed="false">
      <c r="A696" s="217" t="s">
        <v>593</v>
      </c>
      <c r="B696" s="217"/>
      <c r="C696" s="217"/>
      <c r="D696" s="217"/>
      <c r="E696" s="217"/>
      <c r="F696" s="217"/>
      <c r="G696" s="217"/>
      <c r="H696" s="217"/>
      <c r="I696" s="217"/>
      <c r="J696" s="217"/>
      <c r="K696" s="217"/>
      <c r="L696" s="29"/>
      <c r="M696" s="29"/>
      <c r="N696" s="29"/>
      <c r="O696" s="29"/>
      <c r="P696" s="29"/>
    </row>
    <row r="697" customFormat="false" ht="14.9" hidden="false" customHeight="false" outlineLevel="0" collapsed="false">
      <c r="A697" s="107" t="s">
        <v>591</v>
      </c>
      <c r="B697" s="24" t="s">
        <v>57</v>
      </c>
      <c r="C697" s="23" t="n">
        <v>96624</v>
      </c>
      <c r="D697" s="25" t="s">
        <v>175</v>
      </c>
      <c r="E697" s="23" t="s">
        <v>49</v>
      </c>
      <c r="F697" s="26" t="n">
        <f aca="false">0.42</f>
        <v>0.42</v>
      </c>
      <c r="G697" s="138"/>
      <c r="H697" s="138"/>
      <c r="I697" s="138"/>
      <c r="J697" s="138"/>
      <c r="K697" s="138"/>
      <c r="L697" s="29"/>
      <c r="M697" s="42"/>
      <c r="N697" s="29"/>
      <c r="O697" s="29"/>
      <c r="P697" s="29"/>
    </row>
    <row r="698" customFormat="false" ht="14.25" hidden="false" customHeight="false" outlineLevel="0" collapsed="false">
      <c r="A698" s="107" t="s">
        <v>594</v>
      </c>
      <c r="B698" s="24" t="s">
        <v>57</v>
      </c>
      <c r="C698" s="23" t="n">
        <v>97113</v>
      </c>
      <c r="D698" s="25" t="s">
        <v>65</v>
      </c>
      <c r="E698" s="23" t="s">
        <v>19</v>
      </c>
      <c r="F698" s="26" t="n">
        <v>4.1</v>
      </c>
      <c r="G698" s="138"/>
      <c r="H698" s="138"/>
      <c r="I698" s="138"/>
      <c r="J698" s="138"/>
      <c r="K698" s="138"/>
      <c r="L698" s="29"/>
      <c r="M698" s="42"/>
      <c r="N698" s="29"/>
      <c r="O698" s="29"/>
      <c r="P698" s="29"/>
    </row>
    <row r="699" customFormat="false" ht="14.9" hidden="false" customHeight="false" outlineLevel="0" collapsed="false">
      <c r="A699" s="107" t="s">
        <v>595</v>
      </c>
      <c r="B699" s="24" t="s">
        <v>57</v>
      </c>
      <c r="C699" s="23" t="n">
        <v>90930</v>
      </c>
      <c r="D699" s="25" t="s">
        <v>584</v>
      </c>
      <c r="E699" s="23" t="s">
        <v>19</v>
      </c>
      <c r="F699" s="26" t="n">
        <v>4.1</v>
      </c>
      <c r="G699" s="138"/>
      <c r="H699" s="138"/>
      <c r="I699" s="138"/>
      <c r="J699" s="138"/>
      <c r="K699" s="138"/>
      <c r="L699" s="29"/>
      <c r="M699" s="42"/>
      <c r="N699" s="29"/>
      <c r="O699" s="29"/>
      <c r="P699" s="29"/>
    </row>
    <row r="700" customFormat="false" ht="14.25" hidden="false" customHeight="false" outlineLevel="0" collapsed="false">
      <c r="A700" s="117" t="s">
        <v>597</v>
      </c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29"/>
      <c r="M700" s="29"/>
      <c r="N700" s="29"/>
      <c r="O700" s="29"/>
      <c r="P700" s="29"/>
    </row>
    <row r="701" customFormat="false" ht="14.25" hidden="false" customHeight="false" outlineLevel="0" collapsed="false">
      <c r="A701" s="107" t="s">
        <v>596</v>
      </c>
      <c r="B701" s="30" t="s">
        <v>21</v>
      </c>
      <c r="C701" s="23" t="s">
        <v>99</v>
      </c>
      <c r="D701" s="25" t="s">
        <v>100</v>
      </c>
      <c r="E701" s="23" t="s">
        <v>24</v>
      </c>
      <c r="F701" s="23" t="n">
        <f aca="false">E705</f>
        <v>32</v>
      </c>
      <c r="G701" s="109"/>
      <c r="H701" s="109"/>
      <c r="I701" s="109"/>
      <c r="J701" s="109"/>
      <c r="K701" s="109"/>
      <c r="L701" s="29"/>
      <c r="M701" s="29"/>
      <c r="N701" s="29"/>
      <c r="O701" s="29"/>
      <c r="P701" s="29"/>
    </row>
    <row r="702" customFormat="false" ht="14.25" hidden="false" customHeight="false" outlineLevel="0" collapsed="false">
      <c r="A702" s="118" t="s">
        <v>834</v>
      </c>
      <c r="B702" s="118"/>
      <c r="C702" s="118"/>
      <c r="D702" s="119" t="s">
        <v>835</v>
      </c>
      <c r="E702" s="119"/>
      <c r="F702" s="119"/>
      <c r="G702" s="119"/>
      <c r="H702" s="119"/>
      <c r="I702" s="119"/>
      <c r="J702" s="119"/>
      <c r="K702" s="119"/>
    </row>
    <row r="703" customFormat="false" ht="14.25" hidden="false" customHeight="false" outlineLevel="0" collapsed="false">
      <c r="A703" s="120"/>
      <c r="B703" s="120"/>
      <c r="C703" s="120"/>
      <c r="D703" s="121" t="s">
        <v>836</v>
      </c>
      <c r="E703" s="121" t="s">
        <v>837</v>
      </c>
      <c r="F703" s="121" t="s">
        <v>838</v>
      </c>
      <c r="G703" s="121"/>
      <c r="H703" s="122" t="s">
        <v>839</v>
      </c>
      <c r="I703" s="121" t="s">
        <v>840</v>
      </c>
      <c r="J703" s="119"/>
      <c r="K703" s="119"/>
    </row>
    <row r="704" customFormat="false" ht="14.25" hidden="false" customHeight="false" outlineLevel="0" collapsed="false">
      <c r="A704" s="120"/>
      <c r="B704" s="120"/>
      <c r="C704" s="120"/>
      <c r="D704" s="23"/>
      <c r="E704" s="123" t="n">
        <v>8</v>
      </c>
      <c r="F704" s="123" t="n">
        <v>4</v>
      </c>
      <c r="G704" s="123"/>
      <c r="H704" s="124" t="s">
        <v>841</v>
      </c>
      <c r="I704" s="124" t="n">
        <f aca="false">SUM(E704*F704)</f>
        <v>32</v>
      </c>
      <c r="J704" s="119"/>
      <c r="K704" s="119"/>
    </row>
    <row r="705" customFormat="false" ht="14.25" hidden="false" customHeight="false" outlineLevel="0" collapsed="false">
      <c r="A705" s="120"/>
      <c r="B705" s="120"/>
      <c r="C705" s="120"/>
      <c r="D705" s="121" t="s">
        <v>842</v>
      </c>
      <c r="E705" s="125" t="n">
        <f aca="false">SUM(I704:I704)</f>
        <v>32</v>
      </c>
      <c r="F705" s="125"/>
      <c r="G705" s="125"/>
      <c r="H705" s="126"/>
      <c r="I705" s="126"/>
      <c r="J705" s="126"/>
      <c r="K705" s="126"/>
    </row>
    <row r="706" customFormat="false" ht="14.25" hidden="false" customHeight="false" outlineLevel="0" collapsed="false">
      <c r="A706" s="107" t="s">
        <v>598</v>
      </c>
      <c r="B706" s="24" t="s">
        <v>57</v>
      </c>
      <c r="C706" s="23" t="n">
        <v>92800</v>
      </c>
      <c r="D706" s="25" t="s">
        <v>102</v>
      </c>
      <c r="E706" s="23" t="s">
        <v>103</v>
      </c>
      <c r="F706" s="23" t="n">
        <f aca="false">K711</f>
        <v>34.1674666666667</v>
      </c>
      <c r="G706" s="109"/>
      <c r="H706" s="109"/>
      <c r="I706" s="109"/>
      <c r="J706" s="109"/>
      <c r="K706" s="109"/>
      <c r="L706" s="29"/>
      <c r="M706" s="29"/>
      <c r="N706" s="29"/>
      <c r="O706" s="29"/>
      <c r="P706" s="29"/>
    </row>
    <row r="707" customFormat="false" ht="14.25" hidden="false" customHeight="false" outlineLevel="0" collapsed="false">
      <c r="A707" s="127" t="s">
        <v>834</v>
      </c>
      <c r="B707" s="127"/>
      <c r="C707" s="127"/>
      <c r="D707" s="128" t="s">
        <v>843</v>
      </c>
      <c r="E707" s="128"/>
      <c r="F707" s="128"/>
      <c r="G707" s="128"/>
      <c r="H707" s="128"/>
      <c r="I707" s="128"/>
      <c r="J707" s="128"/>
      <c r="K707" s="128"/>
    </row>
    <row r="708" customFormat="false" ht="14.25" hidden="false" customHeight="false" outlineLevel="0" collapsed="false">
      <c r="A708" s="107"/>
      <c r="B708" s="107"/>
      <c r="C708" s="107"/>
      <c r="D708" s="107"/>
      <c r="E708" s="129" t="n">
        <f aca="false">E705</f>
        <v>32</v>
      </c>
      <c r="F708" s="129"/>
      <c r="G708" s="129"/>
      <c r="H708" s="129"/>
      <c r="I708" s="129"/>
      <c r="J708" s="129"/>
      <c r="K708" s="130"/>
      <c r="L708" s="29"/>
      <c r="M708" s="29"/>
      <c r="N708" s="2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</row>
    <row r="709" customFormat="false" ht="14.25" hidden="false" customHeight="true" outlineLevel="0" collapsed="false">
      <c r="A709" s="107"/>
      <c r="B709" s="107"/>
      <c r="C709" s="107"/>
      <c r="D709" s="107"/>
      <c r="E709" s="131" t="s">
        <v>844</v>
      </c>
      <c r="F709" s="131"/>
      <c r="G709" s="131"/>
      <c r="H709" s="131"/>
      <c r="I709" s="131"/>
      <c r="J709" s="131"/>
      <c r="K709" s="132" t="n">
        <f aca="false">SUM(E708/0.15)</f>
        <v>213.333333333333</v>
      </c>
      <c r="L709" s="29"/>
      <c r="M709" s="29"/>
      <c r="N709" s="2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</row>
    <row r="710" customFormat="false" ht="14.25" hidden="false" customHeight="true" outlineLevel="0" collapsed="false">
      <c r="A710" s="107"/>
      <c r="B710" s="107"/>
      <c r="C710" s="107"/>
      <c r="D710" s="107"/>
      <c r="E710" s="131" t="s">
        <v>845</v>
      </c>
      <c r="F710" s="131"/>
      <c r="G710" s="131"/>
      <c r="H710" s="131"/>
      <c r="I710" s="131"/>
      <c r="J710" s="131"/>
      <c r="K710" s="132" t="n">
        <f aca="false">SUM(K709*1.04)</f>
        <v>221.866666666667</v>
      </c>
      <c r="L710" s="29"/>
      <c r="M710" s="29"/>
      <c r="N710" s="2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</row>
    <row r="711" customFormat="false" ht="14.25" hidden="false" customHeight="true" outlineLevel="0" collapsed="false">
      <c r="A711" s="107"/>
      <c r="B711" s="107"/>
      <c r="C711" s="107"/>
      <c r="D711" s="107"/>
      <c r="E711" s="131" t="s">
        <v>846</v>
      </c>
      <c r="F711" s="131"/>
      <c r="G711" s="131"/>
      <c r="H711" s="131"/>
      <c r="I711" s="131"/>
      <c r="J711" s="131"/>
      <c r="K711" s="133" t="n">
        <f aca="false">SUM(K710*0.154)</f>
        <v>34.1674666666667</v>
      </c>
      <c r="L711" s="29"/>
      <c r="M711" s="29"/>
      <c r="N711" s="2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</row>
    <row r="712" customFormat="false" ht="14.25" hidden="false" customHeight="false" outlineLevel="0" collapsed="false">
      <c r="A712" s="107" t="s">
        <v>599</v>
      </c>
      <c r="B712" s="24" t="s">
        <v>57</v>
      </c>
      <c r="C712" s="23" t="n">
        <v>92803</v>
      </c>
      <c r="D712" s="25" t="s">
        <v>105</v>
      </c>
      <c r="E712" s="23" t="s">
        <v>103</v>
      </c>
      <c r="F712" s="23" t="n">
        <f aca="false">K715</f>
        <v>78.976</v>
      </c>
      <c r="G712" s="109"/>
      <c r="H712" s="109"/>
      <c r="I712" s="109"/>
      <c r="J712" s="109"/>
      <c r="K712" s="109"/>
      <c r="L712" s="29"/>
      <c r="M712" s="29"/>
      <c r="N712" s="29"/>
      <c r="O712" s="29"/>
      <c r="P712" s="2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customFormat="false" ht="14.25" hidden="false" customHeight="false" outlineLevel="0" collapsed="false">
      <c r="A713" s="134"/>
      <c r="B713" s="134"/>
      <c r="C713" s="134"/>
      <c r="D713" s="134"/>
      <c r="E713" s="131" t="n">
        <f aca="false">E705</f>
        <v>32</v>
      </c>
      <c r="F713" s="131"/>
      <c r="G713" s="131"/>
      <c r="H713" s="131"/>
      <c r="I713" s="131"/>
      <c r="J713" s="131"/>
      <c r="K713" s="130"/>
      <c r="L713" s="29"/>
      <c r="M713" s="29"/>
      <c r="N713" s="2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</row>
    <row r="714" customFormat="false" ht="14.25" hidden="false" customHeight="true" outlineLevel="0" collapsed="false">
      <c r="A714" s="134"/>
      <c r="B714" s="134"/>
      <c r="C714" s="134"/>
      <c r="D714" s="134"/>
      <c r="E714" s="131" t="s">
        <v>847</v>
      </c>
      <c r="F714" s="131"/>
      <c r="G714" s="131"/>
      <c r="H714" s="131"/>
      <c r="I714" s="131"/>
      <c r="J714" s="131"/>
      <c r="K714" s="132" t="n">
        <f aca="false">SUM(E713*4)</f>
        <v>128</v>
      </c>
      <c r="L714" s="29"/>
      <c r="M714" s="29"/>
      <c r="N714" s="2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</row>
    <row r="715" customFormat="false" ht="14.25" hidden="false" customHeight="true" outlineLevel="0" collapsed="false">
      <c r="A715" s="134"/>
      <c r="B715" s="134"/>
      <c r="C715" s="134"/>
      <c r="D715" s="134"/>
      <c r="E715" s="131" t="s">
        <v>848</v>
      </c>
      <c r="F715" s="131"/>
      <c r="G715" s="131"/>
      <c r="H715" s="131"/>
      <c r="I715" s="131"/>
      <c r="J715" s="131"/>
      <c r="K715" s="132" t="n">
        <f aca="false">SUM(K714*0.617)</f>
        <v>78.976</v>
      </c>
      <c r="L715" s="29"/>
      <c r="M715" s="29"/>
      <c r="N715" s="2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</row>
    <row r="716" customFormat="false" ht="14.9" hidden="false" customHeight="false" outlineLevel="0" collapsed="false">
      <c r="A716" s="107" t="s">
        <v>600</v>
      </c>
      <c r="B716" s="24" t="s">
        <v>57</v>
      </c>
      <c r="C716" s="23" t="n">
        <v>96526</v>
      </c>
      <c r="D716" s="25" t="s">
        <v>107</v>
      </c>
      <c r="E716" s="23" t="s">
        <v>49</v>
      </c>
      <c r="F716" s="23" t="n">
        <f aca="false">I719</f>
        <v>1.56</v>
      </c>
      <c r="G716" s="109"/>
      <c r="H716" s="109"/>
      <c r="I716" s="109"/>
      <c r="J716" s="109"/>
      <c r="K716" s="109"/>
      <c r="L716" s="29"/>
      <c r="M716" s="29"/>
      <c r="N716" s="29"/>
      <c r="O716" s="29"/>
      <c r="P716" s="29"/>
    </row>
    <row r="717" customFormat="false" ht="14.25" hidden="false" customHeight="false" outlineLevel="0" collapsed="false">
      <c r="A717" s="107"/>
      <c r="B717" s="107"/>
      <c r="C717" s="107"/>
      <c r="D717" s="107"/>
      <c r="E717" s="23"/>
      <c r="F717" s="23"/>
      <c r="G717" s="23"/>
      <c r="H717" s="23"/>
      <c r="I717" s="135" t="s">
        <v>849</v>
      </c>
      <c r="J717" s="135"/>
      <c r="K717" s="135"/>
    </row>
    <row r="718" customFormat="false" ht="14.25" hidden="false" customHeight="false" outlineLevel="0" collapsed="false">
      <c r="A718" s="107"/>
      <c r="B718" s="107"/>
      <c r="C718" s="107"/>
      <c r="D718" s="107"/>
      <c r="E718" s="123" t="s">
        <v>949</v>
      </c>
      <c r="F718" s="123"/>
      <c r="G718" s="123"/>
      <c r="H718" s="123" t="n">
        <v>13</v>
      </c>
      <c r="I718" s="135" t="n">
        <f aca="false">H718*0.3*0.4</f>
        <v>1.56</v>
      </c>
      <c r="J718" s="135"/>
      <c r="K718" s="135"/>
    </row>
    <row r="719" customFormat="false" ht="14.25" hidden="false" customHeight="false" outlineLevel="0" collapsed="false">
      <c r="A719" s="107"/>
      <c r="B719" s="107"/>
      <c r="C719" s="107"/>
      <c r="D719" s="107"/>
      <c r="E719" s="136" t="s">
        <v>851</v>
      </c>
      <c r="F719" s="136"/>
      <c r="G719" s="136"/>
      <c r="H719" s="136"/>
      <c r="I719" s="137" t="n">
        <f aca="false">SUM(I718:K718)</f>
        <v>1.56</v>
      </c>
      <c r="J719" s="137"/>
      <c r="K719" s="137"/>
    </row>
    <row r="720" customFormat="false" ht="14.9" hidden="false" customHeight="false" outlineLevel="0" collapsed="false">
      <c r="A720" s="107" t="s">
        <v>601</v>
      </c>
      <c r="B720" s="24" t="s">
        <v>57</v>
      </c>
      <c r="C720" s="23" t="n">
        <v>101619</v>
      </c>
      <c r="D720" s="25" t="s">
        <v>109</v>
      </c>
      <c r="E720" s="23" t="s">
        <v>49</v>
      </c>
      <c r="F720" s="23" t="n">
        <f aca="false">SUM(E721:E721)</f>
        <v>0.0468</v>
      </c>
      <c r="G720" s="138"/>
      <c r="H720" s="138"/>
      <c r="I720" s="138"/>
      <c r="J720" s="138"/>
      <c r="K720" s="138"/>
      <c r="L720" s="29"/>
      <c r="M720" s="29"/>
      <c r="N720" s="29"/>
      <c r="O720" s="29"/>
      <c r="P720" s="29"/>
    </row>
    <row r="721" customFormat="false" ht="14.25" hidden="false" customHeight="false" outlineLevel="0" collapsed="false">
      <c r="A721" s="107"/>
      <c r="B721" s="107"/>
      <c r="C721" s="107"/>
      <c r="D721" s="107"/>
      <c r="E721" s="23" t="n">
        <f aca="false">I719*0.3*0.1</f>
        <v>0.0468</v>
      </c>
      <c r="F721" s="23"/>
      <c r="G721" s="138"/>
      <c r="H721" s="138"/>
      <c r="I721" s="138"/>
      <c r="J721" s="138"/>
      <c r="K721" s="138"/>
      <c r="L721" s="29"/>
      <c r="M721" s="29"/>
      <c r="N721" s="29"/>
      <c r="O721" s="29"/>
      <c r="P721" s="29"/>
    </row>
    <row r="722" customFormat="false" ht="14.25" hidden="false" customHeight="false" outlineLevel="0" collapsed="false">
      <c r="A722" s="107" t="s">
        <v>602</v>
      </c>
      <c r="B722" s="24" t="s">
        <v>57</v>
      </c>
      <c r="C722" s="23" t="n">
        <v>92800</v>
      </c>
      <c r="D722" s="25" t="s">
        <v>102</v>
      </c>
      <c r="E722" s="23" t="s">
        <v>103</v>
      </c>
      <c r="F722" s="23" t="n">
        <f aca="false">K726+K1619+K1624</f>
        <v>19.2192</v>
      </c>
      <c r="G722" s="138"/>
      <c r="H722" s="138"/>
      <c r="I722" s="138"/>
      <c r="J722" s="138"/>
      <c r="K722" s="138"/>
      <c r="L722" s="29"/>
      <c r="M722" s="29"/>
      <c r="N722" s="29"/>
      <c r="O722" s="29"/>
      <c r="P722" s="29"/>
    </row>
    <row r="723" customFormat="false" ht="14.25" hidden="false" customHeight="false" outlineLevel="0" collapsed="false">
      <c r="A723" s="134"/>
      <c r="B723" s="134"/>
      <c r="C723" s="134"/>
      <c r="D723" s="134"/>
      <c r="E723" s="131" t="n">
        <f aca="false">SUM(H718:H718)</f>
        <v>13</v>
      </c>
      <c r="F723" s="131"/>
      <c r="G723" s="131"/>
      <c r="H723" s="131"/>
      <c r="I723" s="131"/>
      <c r="J723" s="131"/>
      <c r="K723" s="130"/>
      <c r="L723" s="29"/>
      <c r="M723" s="29"/>
      <c r="N723" s="2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</row>
    <row r="724" customFormat="false" ht="14.25" hidden="false" customHeight="true" outlineLevel="0" collapsed="false">
      <c r="A724" s="134"/>
      <c r="B724" s="134"/>
      <c r="C724" s="134"/>
      <c r="D724" s="134"/>
      <c r="E724" s="131" t="s">
        <v>852</v>
      </c>
      <c r="F724" s="131"/>
      <c r="G724" s="131"/>
      <c r="H724" s="131"/>
      <c r="I724" s="131"/>
      <c r="J724" s="131"/>
      <c r="K724" s="132" t="n">
        <f aca="false">SUM(E723/0.15)</f>
        <v>86.6666666666667</v>
      </c>
      <c r="L724" s="29"/>
      <c r="M724" s="29"/>
      <c r="N724" s="2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</row>
    <row r="725" customFormat="false" ht="14.25" hidden="false" customHeight="true" outlineLevel="0" collapsed="false">
      <c r="A725" s="134"/>
      <c r="B725" s="134"/>
      <c r="C725" s="134"/>
      <c r="D725" s="134"/>
      <c r="E725" s="131" t="s">
        <v>853</v>
      </c>
      <c r="F725" s="131"/>
      <c r="G725" s="131"/>
      <c r="H725" s="131"/>
      <c r="I725" s="131"/>
      <c r="J725" s="131"/>
      <c r="K725" s="132" t="n">
        <f aca="false">SUM(K724*1.44)</f>
        <v>124.8</v>
      </c>
      <c r="L725" s="29"/>
      <c r="M725" s="29"/>
      <c r="N725" s="2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</row>
    <row r="726" customFormat="false" ht="14.25" hidden="false" customHeight="true" outlineLevel="0" collapsed="false">
      <c r="A726" s="134"/>
      <c r="B726" s="134"/>
      <c r="C726" s="134"/>
      <c r="D726" s="134"/>
      <c r="E726" s="131" t="s">
        <v>854</v>
      </c>
      <c r="F726" s="131"/>
      <c r="G726" s="131"/>
      <c r="H726" s="131"/>
      <c r="I726" s="131"/>
      <c r="J726" s="131"/>
      <c r="K726" s="133" t="n">
        <f aca="false">SUM(K725*0.154)</f>
        <v>19.2192</v>
      </c>
      <c r="L726" s="29"/>
      <c r="M726" s="29"/>
      <c r="N726" s="2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</row>
    <row r="727" customFormat="false" ht="14.25" hidden="false" customHeight="false" outlineLevel="0" collapsed="false">
      <c r="A727" s="107" t="s">
        <v>603</v>
      </c>
      <c r="B727" s="24" t="s">
        <v>57</v>
      </c>
      <c r="C727" s="23" t="n">
        <v>92803</v>
      </c>
      <c r="D727" s="25" t="s">
        <v>105</v>
      </c>
      <c r="E727" s="23" t="s">
        <v>103</v>
      </c>
      <c r="F727" s="23" t="n">
        <f aca="false">K730</f>
        <v>32.084</v>
      </c>
      <c r="G727" s="109"/>
      <c r="H727" s="109"/>
      <c r="I727" s="109"/>
      <c r="J727" s="109"/>
      <c r="K727" s="109"/>
      <c r="L727" s="29"/>
      <c r="M727" s="29"/>
      <c r="N727" s="29"/>
      <c r="O727" s="29"/>
      <c r="P727" s="2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customFormat="false" ht="14.25" hidden="false" customHeight="false" outlineLevel="0" collapsed="false">
      <c r="A728" s="134"/>
      <c r="B728" s="134"/>
      <c r="C728" s="134"/>
      <c r="D728" s="134"/>
      <c r="E728" s="131" t="n">
        <f aca="false">E723</f>
        <v>13</v>
      </c>
      <c r="F728" s="131"/>
      <c r="G728" s="131"/>
      <c r="H728" s="131"/>
      <c r="I728" s="131"/>
      <c r="J728" s="131"/>
      <c r="K728" s="130"/>
      <c r="L728" s="29"/>
      <c r="M728" s="29"/>
      <c r="N728" s="2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</row>
    <row r="729" customFormat="false" ht="14.25" hidden="false" customHeight="true" outlineLevel="0" collapsed="false">
      <c r="A729" s="134"/>
      <c r="B729" s="134"/>
      <c r="C729" s="134"/>
      <c r="D729" s="134"/>
      <c r="E729" s="131" t="s">
        <v>855</v>
      </c>
      <c r="F729" s="131"/>
      <c r="G729" s="131"/>
      <c r="H729" s="131"/>
      <c r="I729" s="131"/>
      <c r="J729" s="131"/>
      <c r="K729" s="132" t="n">
        <f aca="false">SUM(E728*4)</f>
        <v>52</v>
      </c>
      <c r="L729" s="29"/>
      <c r="M729" s="29"/>
      <c r="N729" s="2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</row>
    <row r="730" customFormat="false" ht="14.25" hidden="false" customHeight="true" outlineLevel="0" collapsed="false">
      <c r="A730" s="134"/>
      <c r="B730" s="134"/>
      <c r="C730" s="134"/>
      <c r="D730" s="134"/>
      <c r="E730" s="131" t="s">
        <v>856</v>
      </c>
      <c r="F730" s="131"/>
      <c r="G730" s="131"/>
      <c r="H730" s="131"/>
      <c r="I730" s="131"/>
      <c r="J730" s="131"/>
      <c r="K730" s="132" t="n">
        <f aca="false">SUM(K729*0.617)</f>
        <v>32.084</v>
      </c>
      <c r="L730" s="29"/>
      <c r="M730" s="29"/>
      <c r="N730" s="2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</row>
    <row r="731" customFormat="false" ht="14.9" hidden="false" customHeight="false" outlineLevel="0" collapsed="false">
      <c r="A731" s="107" t="s">
        <v>604</v>
      </c>
      <c r="B731" s="24" t="s">
        <v>57</v>
      </c>
      <c r="C731" s="23" t="n">
        <v>96557</v>
      </c>
      <c r="D731" s="25" t="s">
        <v>113</v>
      </c>
      <c r="E731" s="23" t="s">
        <v>49</v>
      </c>
      <c r="F731" s="23" t="n">
        <f aca="false">I719</f>
        <v>1.56</v>
      </c>
      <c r="G731" s="138"/>
      <c r="H731" s="138"/>
      <c r="I731" s="138"/>
      <c r="J731" s="138"/>
      <c r="K731" s="138"/>
      <c r="L731" s="29"/>
      <c r="M731" s="29"/>
      <c r="N731" s="29"/>
      <c r="O731" s="29"/>
      <c r="P731" s="2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customFormat="false" ht="14.9" hidden="false" customHeight="false" outlineLevel="0" collapsed="false">
      <c r="A732" s="107" t="s">
        <v>605</v>
      </c>
      <c r="B732" s="24" t="s">
        <v>57</v>
      </c>
      <c r="C732" s="23" t="n">
        <v>101165</v>
      </c>
      <c r="D732" s="25" t="s">
        <v>115</v>
      </c>
      <c r="E732" s="23" t="s">
        <v>49</v>
      </c>
      <c r="F732" s="26" t="n">
        <f aca="false">SUM(E733:E733)</f>
        <v>1.1115</v>
      </c>
      <c r="G732" s="138"/>
      <c r="H732" s="138"/>
      <c r="I732" s="138"/>
      <c r="J732" s="138"/>
      <c r="K732" s="138"/>
      <c r="L732" s="29"/>
      <c r="M732" s="29"/>
      <c r="N732" s="29"/>
      <c r="O732" s="29"/>
      <c r="P732" s="29"/>
    </row>
    <row r="733" customFormat="false" ht="14.25" hidden="false" customHeight="false" outlineLevel="0" collapsed="false">
      <c r="A733" s="107"/>
      <c r="B733" s="107"/>
      <c r="C733" s="107"/>
      <c r="D733" s="107"/>
      <c r="E733" s="123" t="n">
        <f aca="false">E723*0.45*0.19</f>
        <v>1.1115</v>
      </c>
      <c r="F733" s="23"/>
      <c r="G733" s="138"/>
      <c r="H733" s="138"/>
      <c r="I733" s="138"/>
      <c r="J733" s="138"/>
      <c r="K733" s="138"/>
      <c r="L733" s="29"/>
      <c r="M733" s="29"/>
      <c r="N733" s="29"/>
      <c r="O733" s="29"/>
      <c r="P733" s="29"/>
    </row>
    <row r="734" customFormat="false" ht="14.25" hidden="false" customHeight="false" outlineLevel="0" collapsed="false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29"/>
      <c r="M734" s="29"/>
      <c r="N734" s="29"/>
      <c r="O734" s="29"/>
      <c r="P734" s="29"/>
    </row>
    <row r="735" customFormat="false" ht="14.25" hidden="false" customHeight="false" outlineLevel="0" collapsed="false">
      <c r="A735" s="117" t="s">
        <v>607</v>
      </c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29"/>
      <c r="M735" s="29"/>
      <c r="N735" s="29"/>
      <c r="O735" s="29"/>
      <c r="P735" s="29"/>
    </row>
    <row r="736" customFormat="false" ht="21.6" hidden="false" customHeight="false" outlineLevel="0" collapsed="false">
      <c r="A736" s="107" t="s">
        <v>606</v>
      </c>
      <c r="B736" s="24" t="s">
        <v>57</v>
      </c>
      <c r="C736" s="23" t="n">
        <v>92415</v>
      </c>
      <c r="D736" s="25" t="s">
        <v>118</v>
      </c>
      <c r="E736" s="23" t="s">
        <v>19</v>
      </c>
      <c r="F736" s="26" t="n">
        <f aca="false">J740</f>
        <v>12</v>
      </c>
      <c r="G736" s="109"/>
      <c r="H736" s="109"/>
      <c r="I736" s="109"/>
      <c r="J736" s="109"/>
      <c r="K736" s="109"/>
      <c r="L736" s="29"/>
      <c r="M736" s="29"/>
      <c r="N736" s="29"/>
      <c r="O736" s="29"/>
      <c r="P736" s="2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customFormat="false" ht="14.25" hidden="false" customHeight="false" outlineLevel="0" collapsed="false">
      <c r="A737" s="118" t="s">
        <v>834</v>
      </c>
      <c r="B737" s="118"/>
      <c r="C737" s="118"/>
      <c r="D737" s="135" t="s">
        <v>843</v>
      </c>
      <c r="E737" s="135"/>
      <c r="F737" s="135"/>
      <c r="G737" s="135"/>
      <c r="H737" s="135"/>
      <c r="I737" s="135"/>
      <c r="J737" s="135"/>
      <c r="K737" s="135"/>
    </row>
    <row r="738" customFormat="false" ht="14.25" hidden="false" customHeight="false" outlineLevel="0" collapsed="false">
      <c r="A738" s="120"/>
      <c r="B738" s="120"/>
      <c r="C738" s="120"/>
      <c r="D738" s="121" t="s">
        <v>836</v>
      </c>
      <c r="E738" s="121" t="s">
        <v>837</v>
      </c>
      <c r="F738" s="121" t="s">
        <v>857</v>
      </c>
      <c r="G738" s="121"/>
      <c r="H738" s="121" t="s">
        <v>859</v>
      </c>
      <c r="I738" s="121"/>
      <c r="J738" s="121" t="s">
        <v>840</v>
      </c>
      <c r="K738" s="139"/>
    </row>
    <row r="739" customFormat="false" ht="14.25" hidden="false" customHeight="false" outlineLevel="0" collapsed="false">
      <c r="A739" s="120"/>
      <c r="B739" s="120"/>
      <c r="C739" s="120"/>
      <c r="D739" s="123" t="s">
        <v>950</v>
      </c>
      <c r="E739" s="123" t="n">
        <v>8</v>
      </c>
      <c r="F739" s="123" t="n">
        <v>3</v>
      </c>
      <c r="G739" s="123"/>
      <c r="H739" s="123" t="s">
        <v>861</v>
      </c>
      <c r="I739" s="123"/>
      <c r="J739" s="123" t="n">
        <f aca="false">SUM(0.25*3)*E739*2</f>
        <v>12</v>
      </c>
      <c r="K739" s="140"/>
    </row>
    <row r="740" customFormat="false" ht="14.25" hidden="false" customHeight="false" outlineLevel="0" collapsed="false">
      <c r="A740" s="120"/>
      <c r="B740" s="120"/>
      <c r="C740" s="120"/>
      <c r="D740" s="121" t="s">
        <v>840</v>
      </c>
      <c r="E740" s="121"/>
      <c r="F740" s="121"/>
      <c r="G740" s="121"/>
      <c r="H740" s="121"/>
      <c r="I740" s="121"/>
      <c r="J740" s="137" t="n">
        <f aca="false">SUM(J739:J739)</f>
        <v>12</v>
      </c>
      <c r="K740" s="137"/>
    </row>
    <row r="741" customFormat="false" ht="14.25" hidden="false" customHeight="false" outlineLevel="0" collapsed="false">
      <c r="A741" s="107" t="s">
        <v>608</v>
      </c>
      <c r="B741" s="24" t="s">
        <v>57</v>
      </c>
      <c r="C741" s="23" t="n">
        <v>92800</v>
      </c>
      <c r="D741" s="25" t="s">
        <v>102</v>
      </c>
      <c r="E741" s="23" t="s">
        <v>103</v>
      </c>
      <c r="F741" s="23" t="n">
        <f aca="false">SUM(K745+K1173+K1491+K1497+K1502+K1507+K1521+K1526+K1531+K1536+K1569+K1574+K1579+K1583+K1588)</f>
        <v>25.6256</v>
      </c>
      <c r="G741" s="109"/>
      <c r="H741" s="109"/>
      <c r="I741" s="109"/>
      <c r="J741" s="109"/>
      <c r="K741" s="109"/>
      <c r="L741" s="29"/>
      <c r="M741" s="29"/>
      <c r="N741" s="29"/>
      <c r="O741" s="29"/>
      <c r="P741" s="29"/>
    </row>
    <row r="742" customFormat="false" ht="14.25" hidden="false" customHeight="false" outlineLevel="0" collapsed="false">
      <c r="A742" s="134"/>
      <c r="B742" s="134"/>
      <c r="C742" s="134"/>
      <c r="D742" s="131" t="s">
        <v>862</v>
      </c>
      <c r="E742" s="131" t="n">
        <f aca="false">E739*F739</f>
        <v>24</v>
      </c>
      <c r="F742" s="131"/>
      <c r="G742" s="131"/>
      <c r="H742" s="131"/>
      <c r="I742" s="131"/>
      <c r="J742" s="131"/>
      <c r="K742" s="126"/>
      <c r="L742" s="29"/>
      <c r="M742" s="29"/>
      <c r="N742" s="2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</row>
    <row r="743" customFormat="false" ht="14.25" hidden="false" customHeight="true" outlineLevel="0" collapsed="false">
      <c r="A743" s="134"/>
      <c r="B743" s="134"/>
      <c r="C743" s="134"/>
      <c r="D743" s="134"/>
      <c r="E743" s="131" t="s">
        <v>863</v>
      </c>
      <c r="F743" s="131"/>
      <c r="G743" s="131"/>
      <c r="H743" s="131"/>
      <c r="I743" s="131"/>
      <c r="J743" s="131"/>
      <c r="K743" s="132" t="n">
        <f aca="false">SUM(E742/0.15)</f>
        <v>160</v>
      </c>
      <c r="L743" s="29"/>
      <c r="M743" s="29"/>
      <c r="N743" s="2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</row>
    <row r="744" customFormat="false" ht="14.25" hidden="false" customHeight="true" outlineLevel="0" collapsed="false">
      <c r="A744" s="134"/>
      <c r="B744" s="134"/>
      <c r="C744" s="134"/>
      <c r="D744" s="134"/>
      <c r="E744" s="131" t="s">
        <v>864</v>
      </c>
      <c r="F744" s="131"/>
      <c r="G744" s="131"/>
      <c r="H744" s="131"/>
      <c r="I744" s="131"/>
      <c r="J744" s="131"/>
      <c r="K744" s="132" t="n">
        <f aca="false">SUM(K743*1.04)</f>
        <v>166.4</v>
      </c>
      <c r="L744" s="29"/>
      <c r="M744" s="29"/>
      <c r="N744" s="2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</row>
    <row r="745" customFormat="false" ht="14.25" hidden="false" customHeight="true" outlineLevel="0" collapsed="false">
      <c r="A745" s="134"/>
      <c r="B745" s="134"/>
      <c r="C745" s="134"/>
      <c r="D745" s="134"/>
      <c r="E745" s="131" t="s">
        <v>865</v>
      </c>
      <c r="F745" s="131"/>
      <c r="G745" s="131"/>
      <c r="H745" s="131"/>
      <c r="I745" s="131"/>
      <c r="J745" s="131"/>
      <c r="K745" s="133" t="n">
        <f aca="false">SUM(K744*0.154)</f>
        <v>25.6256</v>
      </c>
      <c r="L745" s="29"/>
      <c r="M745" s="29"/>
      <c r="N745" s="2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</row>
    <row r="746" customFormat="false" ht="14.25" hidden="false" customHeight="false" outlineLevel="0" collapsed="false">
      <c r="A746" s="107" t="s">
        <v>609</v>
      </c>
      <c r="B746" s="24" t="s">
        <v>57</v>
      </c>
      <c r="C746" s="23" t="n">
        <v>92803</v>
      </c>
      <c r="D746" s="25" t="s">
        <v>105</v>
      </c>
      <c r="E746" s="23" t="s">
        <v>103</v>
      </c>
      <c r="F746" s="26" t="n">
        <f aca="false">SUM(K749+K1172+K1489+K1494+K1498+K1502+K1506+K1519+K1523+K1527+K1531+K1535+K1567+K1571+K1575)</f>
        <v>59.232</v>
      </c>
      <c r="G746" s="109"/>
      <c r="H746" s="109"/>
      <c r="I746" s="109"/>
      <c r="J746" s="109"/>
      <c r="K746" s="109"/>
      <c r="L746" s="29"/>
      <c r="M746" s="29"/>
      <c r="N746" s="29"/>
      <c r="O746" s="29"/>
      <c r="P746" s="2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customFormat="false" ht="14.25" hidden="false" customHeight="false" outlineLevel="0" collapsed="false">
      <c r="A747" s="134"/>
      <c r="B747" s="134"/>
      <c r="C747" s="134"/>
      <c r="D747" s="131" t="str">
        <f aca="false">D742</f>
        <v>PILARES DE 25 CM</v>
      </c>
      <c r="E747" s="131" t="n">
        <f aca="false">E742</f>
        <v>24</v>
      </c>
      <c r="F747" s="131"/>
      <c r="G747" s="131"/>
      <c r="H747" s="131"/>
      <c r="I747" s="131"/>
      <c r="J747" s="131"/>
      <c r="K747" s="130"/>
      <c r="L747" s="29"/>
      <c r="M747" s="29"/>
      <c r="N747" s="2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</row>
    <row r="748" customFormat="false" ht="14.25" hidden="false" customHeight="true" outlineLevel="0" collapsed="false">
      <c r="A748" s="134"/>
      <c r="B748" s="134"/>
      <c r="C748" s="134"/>
      <c r="D748" s="141"/>
      <c r="E748" s="131" t="s">
        <v>866</v>
      </c>
      <c r="F748" s="131"/>
      <c r="G748" s="131"/>
      <c r="H748" s="131"/>
      <c r="I748" s="131"/>
      <c r="J748" s="131"/>
      <c r="K748" s="132" t="n">
        <f aca="false">SUM(E747*4)</f>
        <v>96</v>
      </c>
      <c r="L748" s="29"/>
      <c r="M748" s="29"/>
      <c r="N748" s="2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</row>
    <row r="749" customFormat="false" ht="14.25" hidden="false" customHeight="true" outlineLevel="0" collapsed="false">
      <c r="A749" s="120"/>
      <c r="B749" s="120"/>
      <c r="C749" s="120"/>
      <c r="D749" s="120"/>
      <c r="E749" s="131" t="s">
        <v>867</v>
      </c>
      <c r="F749" s="131"/>
      <c r="G749" s="131"/>
      <c r="H749" s="131"/>
      <c r="I749" s="131"/>
      <c r="J749" s="131"/>
      <c r="K749" s="132" t="n">
        <f aca="false">SUM(K748*0.617)</f>
        <v>59.232</v>
      </c>
      <c r="L749" s="29"/>
      <c r="M749" s="29"/>
      <c r="N749" s="2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</row>
    <row r="750" customFormat="false" ht="14.9" hidden="false" customHeight="false" outlineLevel="0" collapsed="false">
      <c r="A750" s="107" t="s">
        <v>610</v>
      </c>
      <c r="B750" s="24" t="s">
        <v>57</v>
      </c>
      <c r="C750" s="23" t="n">
        <v>103672</v>
      </c>
      <c r="D750" s="25" t="s">
        <v>122</v>
      </c>
      <c r="E750" s="23" t="s">
        <v>49</v>
      </c>
      <c r="F750" s="26" t="n">
        <f aca="false">SUM(E742*0.25*0.25)</f>
        <v>1.5</v>
      </c>
      <c r="G750" s="138"/>
      <c r="H750" s="138"/>
      <c r="I750" s="138"/>
      <c r="J750" s="138"/>
      <c r="K750" s="138"/>
      <c r="L750" s="29"/>
      <c r="M750" s="29"/>
      <c r="N750" s="29"/>
      <c r="O750" s="29"/>
      <c r="P750" s="29"/>
    </row>
    <row r="751" customFormat="false" ht="21.6" hidden="false" customHeight="false" outlineLevel="0" collapsed="false">
      <c r="A751" s="107" t="s">
        <v>611</v>
      </c>
      <c r="B751" s="24" t="s">
        <v>57</v>
      </c>
      <c r="C751" s="23" t="n">
        <v>103324</v>
      </c>
      <c r="D751" s="25" t="s">
        <v>124</v>
      </c>
      <c r="E751" s="23" t="s">
        <v>19</v>
      </c>
      <c r="F751" s="26" t="n">
        <f aca="false">H753</f>
        <v>39</v>
      </c>
      <c r="G751" s="138"/>
      <c r="H751" s="138"/>
      <c r="I751" s="138"/>
      <c r="J751" s="138"/>
      <c r="K751" s="138"/>
      <c r="L751" s="29"/>
      <c r="M751" s="29"/>
      <c r="N751" s="29"/>
      <c r="O751" s="29"/>
      <c r="P751" s="29"/>
    </row>
    <row r="752" customFormat="false" ht="14.9" hidden="false" customHeight="true" outlineLevel="0" collapsed="false">
      <c r="A752" s="134"/>
      <c r="B752" s="134"/>
      <c r="C752" s="134"/>
      <c r="D752" s="142"/>
      <c r="E752" s="123" t="s">
        <v>868</v>
      </c>
      <c r="F752" s="143" t="s">
        <v>951</v>
      </c>
      <c r="G752" s="144" t="s">
        <v>870</v>
      </c>
      <c r="H752" s="146" t="s">
        <v>952</v>
      </c>
      <c r="I752" s="146"/>
      <c r="J752" s="146"/>
      <c r="K752" s="146"/>
    </row>
    <row r="753" customFormat="false" ht="14.25" hidden="false" customHeight="false" outlineLevel="0" collapsed="false">
      <c r="A753" s="134"/>
      <c r="B753" s="134"/>
      <c r="C753" s="134"/>
      <c r="D753" s="153" t="e">
        <f aca="false">#REF!</f>
        <v>#REF!</v>
      </c>
      <c r="E753" s="123" t="n">
        <v>15</v>
      </c>
      <c r="F753" s="143" t="n">
        <v>3</v>
      </c>
      <c r="G753" s="123" t="n">
        <f aca="false">(0.25*F753)*E739</f>
        <v>6</v>
      </c>
      <c r="H753" s="147" t="n">
        <f aca="false">SUM(E753*F753)-G753</f>
        <v>39</v>
      </c>
      <c r="I753" s="147"/>
      <c r="J753" s="147"/>
      <c r="K753" s="147"/>
    </row>
    <row r="754" customFormat="false" ht="14.25" hidden="false" customHeight="false" outlineLevel="0" collapsed="false">
      <c r="A754" s="107" t="s">
        <v>612</v>
      </c>
      <c r="B754" s="24" t="s">
        <v>57</v>
      </c>
      <c r="C754" s="54" t="s">
        <v>126</v>
      </c>
      <c r="D754" s="25" t="s">
        <v>127</v>
      </c>
      <c r="E754" s="23" t="s">
        <v>24</v>
      </c>
      <c r="F754" s="26" t="e">
        <f aca="false">E756</f>
        <v>#VALUE!</v>
      </c>
      <c r="G754" s="109"/>
      <c r="H754" s="109"/>
      <c r="I754" s="109"/>
      <c r="J754" s="109"/>
      <c r="K754" s="109"/>
      <c r="L754" s="29"/>
      <c r="M754" s="29"/>
      <c r="N754" s="29"/>
      <c r="O754" s="29"/>
      <c r="P754" s="29"/>
    </row>
    <row r="755" customFormat="false" ht="14.25" hidden="false" customHeight="false" outlineLevel="0" collapsed="false">
      <c r="A755" s="149"/>
      <c r="B755" s="149"/>
      <c r="C755" s="149"/>
      <c r="D755" s="149"/>
      <c r="E755" s="135" t="e">
        <f aca="false">SUM(1.3*2)*754:756</f>
        <v>#VALUE!</v>
      </c>
      <c r="F755" s="135"/>
      <c r="G755" s="135"/>
      <c r="H755" s="135"/>
      <c r="I755" s="135"/>
      <c r="J755" s="135"/>
      <c r="K755" s="135"/>
      <c r="L755" s="29"/>
      <c r="M755" s="29"/>
      <c r="N755" s="29"/>
      <c r="O755" s="29"/>
      <c r="P755" s="29"/>
    </row>
    <row r="756" customFormat="false" ht="14.25" hidden="false" customHeight="false" outlineLevel="0" collapsed="false">
      <c r="A756" s="149" t="s">
        <v>851</v>
      </c>
      <c r="B756" s="149"/>
      <c r="C756" s="149"/>
      <c r="D756" s="149"/>
      <c r="E756" s="137" t="e">
        <f aca="false">E755</f>
        <v>#VALUE!</v>
      </c>
      <c r="F756" s="137"/>
      <c r="G756" s="137"/>
      <c r="H756" s="137"/>
      <c r="I756" s="137"/>
      <c r="J756" s="137"/>
      <c r="K756" s="137"/>
    </row>
    <row r="757" customFormat="false" ht="21.6" hidden="false" customHeight="false" outlineLevel="0" collapsed="false">
      <c r="A757" s="107" t="s">
        <v>613</v>
      </c>
      <c r="B757" s="24" t="s">
        <v>57</v>
      </c>
      <c r="C757" s="23" t="n">
        <v>92451</v>
      </c>
      <c r="D757" s="25" t="s">
        <v>129</v>
      </c>
      <c r="E757" s="23" t="s">
        <v>19</v>
      </c>
      <c r="F757" s="26" t="n">
        <f aca="false">SUM(J760)</f>
        <v>4.5</v>
      </c>
      <c r="G757" s="109"/>
      <c r="H757" s="109"/>
      <c r="I757" s="109"/>
      <c r="J757" s="109"/>
      <c r="K757" s="109"/>
      <c r="L757" s="29"/>
      <c r="M757" s="29"/>
      <c r="N757" s="29"/>
      <c r="O757" s="29"/>
      <c r="P757" s="29"/>
    </row>
    <row r="758" customFormat="false" ht="14.25" hidden="false" customHeight="false" outlineLevel="0" collapsed="false">
      <c r="A758" s="150" t="s">
        <v>834</v>
      </c>
      <c r="B758" s="150"/>
      <c r="C758" s="150"/>
      <c r="D758" s="135" t="s">
        <v>843</v>
      </c>
      <c r="E758" s="135"/>
      <c r="F758" s="135"/>
      <c r="G758" s="135"/>
      <c r="H758" s="135"/>
      <c r="I758" s="135"/>
      <c r="J758" s="135"/>
      <c r="K758" s="135"/>
    </row>
    <row r="759" customFormat="false" ht="14.9" hidden="false" customHeight="false" outlineLevel="0" collapsed="false">
      <c r="A759" s="150" t="s">
        <v>877</v>
      </c>
      <c r="B759" s="150"/>
      <c r="C759" s="150"/>
      <c r="D759" s="150"/>
      <c r="E759" s="125" t="s">
        <v>876</v>
      </c>
      <c r="F759" s="125"/>
      <c r="G759" s="125"/>
      <c r="H759" s="121" t="s">
        <v>878</v>
      </c>
      <c r="I759" s="122" t="s">
        <v>879</v>
      </c>
      <c r="J759" s="151" t="s">
        <v>880</v>
      </c>
      <c r="K759" s="139"/>
    </row>
    <row r="760" customFormat="false" ht="14.25" hidden="false" customHeight="false" outlineLevel="0" collapsed="false">
      <c r="A760" s="149"/>
      <c r="B760" s="136"/>
      <c r="C760" s="136"/>
      <c r="D760" s="136"/>
      <c r="E760" s="123" t="n">
        <v>15</v>
      </c>
      <c r="F760" s="123"/>
      <c r="G760" s="123"/>
      <c r="H760" s="123" t="n">
        <v>0.3</v>
      </c>
      <c r="I760" s="123" t="n">
        <v>0.25</v>
      </c>
      <c r="J760" s="153" t="n">
        <f aca="false">SUM(E760*H760)</f>
        <v>4.5</v>
      </c>
      <c r="K760" s="135"/>
    </row>
    <row r="761" customFormat="false" ht="14.25" hidden="false" customHeight="false" outlineLevel="0" collapsed="false">
      <c r="A761" s="107" t="s">
        <v>614</v>
      </c>
      <c r="B761" s="24" t="s">
        <v>57</v>
      </c>
      <c r="C761" s="23" t="n">
        <v>92800</v>
      </c>
      <c r="D761" s="25" t="s">
        <v>102</v>
      </c>
      <c r="E761" s="23" t="s">
        <v>103</v>
      </c>
      <c r="F761" s="23" t="n">
        <f aca="false">K767</f>
        <v>231</v>
      </c>
      <c r="G761" s="109"/>
      <c r="H761" s="109"/>
      <c r="I761" s="109"/>
      <c r="J761" s="109"/>
      <c r="K761" s="109"/>
      <c r="L761" s="29"/>
      <c r="M761" s="29"/>
      <c r="N761" s="29"/>
      <c r="O761" s="29"/>
      <c r="P761" s="29"/>
    </row>
    <row r="762" customFormat="false" ht="14.25" hidden="false" customHeight="false" outlineLevel="0" collapsed="false">
      <c r="A762" s="150" t="s">
        <v>834</v>
      </c>
      <c r="B762" s="150"/>
      <c r="C762" s="150"/>
      <c r="D762" s="135" t="s">
        <v>843</v>
      </c>
      <c r="E762" s="135"/>
      <c r="F762" s="135"/>
      <c r="G762" s="135"/>
      <c r="H762" s="135"/>
      <c r="I762" s="135"/>
      <c r="J762" s="135"/>
      <c r="K762" s="135"/>
    </row>
    <row r="763" customFormat="false" ht="14.25" hidden="false" customHeight="false" outlineLevel="0" collapsed="false">
      <c r="A763" s="120"/>
      <c r="B763" s="120"/>
      <c r="C763" s="120"/>
      <c r="D763" s="121" t="s">
        <v>881</v>
      </c>
      <c r="E763" s="135" t="n">
        <f aca="false">E760</f>
        <v>15</v>
      </c>
      <c r="F763" s="135"/>
      <c r="G763" s="135"/>
      <c r="H763" s="135"/>
      <c r="I763" s="135"/>
      <c r="J763" s="135"/>
      <c r="K763" s="135"/>
    </row>
    <row r="764" customFormat="false" ht="14.25" hidden="false" customHeight="false" outlineLevel="0" collapsed="false">
      <c r="A764" s="120"/>
      <c r="B764" s="120"/>
      <c r="C764" s="120"/>
      <c r="D764" s="153" t="s">
        <v>882</v>
      </c>
      <c r="E764" s="153" t="n">
        <f aca="false">E763</f>
        <v>15</v>
      </c>
      <c r="F764" s="153"/>
      <c r="G764" s="153"/>
      <c r="H764" s="153"/>
      <c r="I764" s="153"/>
      <c r="J764" s="153"/>
      <c r="K764" s="155"/>
      <c r="L764" s="29"/>
      <c r="M764" s="29"/>
      <c r="N764" s="29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</row>
    <row r="765" customFormat="false" ht="14.25" hidden="false" customHeight="true" outlineLevel="0" collapsed="false">
      <c r="A765" s="120"/>
      <c r="B765" s="120"/>
      <c r="C765" s="120"/>
      <c r="D765" s="136" t="n">
        <f aca="false">E760</f>
        <v>15</v>
      </c>
      <c r="E765" s="153" t="s">
        <v>863</v>
      </c>
      <c r="F765" s="153"/>
      <c r="G765" s="153"/>
      <c r="H765" s="153"/>
      <c r="I765" s="153"/>
      <c r="J765" s="153"/>
      <c r="K765" s="137" t="n">
        <f aca="false">SUM(E764/0.15)</f>
        <v>100</v>
      </c>
      <c r="L765" s="29"/>
      <c r="M765" s="29"/>
      <c r="N765" s="29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</row>
    <row r="766" customFormat="false" ht="14.25" hidden="false" customHeight="true" outlineLevel="0" collapsed="false">
      <c r="A766" s="120"/>
      <c r="B766" s="120"/>
      <c r="C766" s="120"/>
      <c r="D766" s="156"/>
      <c r="E766" s="153" t="s">
        <v>864</v>
      </c>
      <c r="F766" s="153"/>
      <c r="G766" s="153"/>
      <c r="H766" s="153"/>
      <c r="I766" s="153"/>
      <c r="J766" s="153"/>
      <c r="K766" s="137" t="n">
        <f aca="false">SUM(K765*D765)</f>
        <v>1500</v>
      </c>
      <c r="L766" s="29"/>
      <c r="M766" s="29"/>
      <c r="N766" s="29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</row>
    <row r="767" customFormat="false" ht="14.25" hidden="false" customHeight="true" outlineLevel="0" collapsed="false">
      <c r="A767" s="120"/>
      <c r="B767" s="120"/>
      <c r="C767" s="120"/>
      <c r="D767" s="156"/>
      <c r="E767" s="153" t="s">
        <v>865</v>
      </c>
      <c r="F767" s="153"/>
      <c r="G767" s="153"/>
      <c r="H767" s="153"/>
      <c r="I767" s="153"/>
      <c r="J767" s="153"/>
      <c r="K767" s="135" t="n">
        <f aca="false">SUM(K766*0.154)</f>
        <v>231</v>
      </c>
      <c r="L767" s="29"/>
      <c r="M767" s="29"/>
      <c r="N767" s="29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</row>
    <row r="768" customFormat="false" ht="14.25" hidden="false" customHeight="false" outlineLevel="0" collapsed="false">
      <c r="A768" s="107" t="s">
        <v>615</v>
      </c>
      <c r="B768" s="24" t="s">
        <v>57</v>
      </c>
      <c r="C768" s="23" t="n">
        <v>92803</v>
      </c>
      <c r="D768" s="25" t="s">
        <v>105</v>
      </c>
      <c r="E768" s="23" t="s">
        <v>103</v>
      </c>
      <c r="F768" s="26" t="n">
        <f aca="false">K771</f>
        <v>37.02</v>
      </c>
      <c r="G768" s="109"/>
      <c r="H768" s="109"/>
      <c r="I768" s="109"/>
      <c r="J768" s="109"/>
      <c r="K768" s="109"/>
      <c r="L768" s="29"/>
      <c r="M768" s="29"/>
      <c r="N768" s="29"/>
      <c r="O768" s="29"/>
      <c r="P768" s="2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customFormat="false" ht="14.25" hidden="false" customHeight="false" outlineLevel="0" collapsed="false">
      <c r="A769" s="157"/>
      <c r="B769" s="157"/>
      <c r="C769" s="157"/>
      <c r="D769" s="131" t="s">
        <v>883</v>
      </c>
      <c r="E769" s="131" t="n">
        <f aca="false">E760</f>
        <v>15</v>
      </c>
      <c r="F769" s="131"/>
      <c r="G769" s="131"/>
      <c r="H769" s="131"/>
      <c r="I769" s="131"/>
      <c r="J769" s="131"/>
      <c r="K769" s="130"/>
      <c r="L769" s="29"/>
      <c r="M769" s="29"/>
      <c r="N769" s="29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</row>
    <row r="770" customFormat="false" ht="14.25" hidden="false" customHeight="true" outlineLevel="0" collapsed="false">
      <c r="A770" s="148"/>
      <c r="B770" s="148"/>
      <c r="C770" s="148"/>
      <c r="D770" s="141"/>
      <c r="E770" s="131" t="s">
        <v>866</v>
      </c>
      <c r="F770" s="131"/>
      <c r="G770" s="131"/>
      <c r="H770" s="131"/>
      <c r="I770" s="131"/>
      <c r="J770" s="131"/>
      <c r="K770" s="132" t="n">
        <f aca="false">SUM(E769*4)</f>
        <v>60</v>
      </c>
      <c r="L770" s="29"/>
      <c r="M770" s="29"/>
      <c r="N770" s="29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</row>
    <row r="771" customFormat="false" ht="14.25" hidden="false" customHeight="true" outlineLevel="0" collapsed="false">
      <c r="A771" s="157"/>
      <c r="B771" s="157"/>
      <c r="C771" s="157"/>
      <c r="D771" s="157"/>
      <c r="E771" s="131" t="s">
        <v>867</v>
      </c>
      <c r="F771" s="131"/>
      <c r="G771" s="131"/>
      <c r="H771" s="131"/>
      <c r="I771" s="131"/>
      <c r="J771" s="131"/>
      <c r="K771" s="132" t="n">
        <f aca="false">SUM(K770*0.617)</f>
        <v>37.02</v>
      </c>
      <c r="L771" s="29"/>
      <c r="M771" s="29"/>
      <c r="N771" s="29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</row>
    <row r="772" customFormat="false" ht="14.25" hidden="false" customHeight="false" outlineLevel="0" collapsed="false">
      <c r="A772" s="107" t="s">
        <v>616</v>
      </c>
      <c r="B772" s="24" t="s">
        <v>57</v>
      </c>
      <c r="C772" s="23" t="n">
        <v>92804</v>
      </c>
      <c r="D772" s="25" t="s">
        <v>133</v>
      </c>
      <c r="E772" s="23" t="s">
        <v>103</v>
      </c>
      <c r="F772" s="26" t="n">
        <f aca="false">K775</f>
        <v>28.89</v>
      </c>
      <c r="G772" s="109"/>
      <c r="H772" s="109"/>
      <c r="I772" s="109"/>
      <c r="J772" s="109"/>
      <c r="K772" s="109"/>
      <c r="L772" s="29"/>
      <c r="M772" s="29"/>
      <c r="N772" s="29"/>
      <c r="O772" s="29"/>
      <c r="P772" s="2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customFormat="false" ht="14.25" hidden="false" customHeight="false" outlineLevel="0" collapsed="false">
      <c r="A773" s="157"/>
      <c r="B773" s="157"/>
      <c r="C773" s="157"/>
      <c r="D773" s="131" t="s">
        <v>883</v>
      </c>
      <c r="E773" s="131" t="n">
        <f aca="false">E769</f>
        <v>15</v>
      </c>
      <c r="F773" s="131"/>
      <c r="G773" s="131"/>
      <c r="H773" s="131"/>
      <c r="I773" s="131"/>
      <c r="J773" s="131"/>
      <c r="K773" s="130"/>
      <c r="L773" s="29"/>
      <c r="M773" s="29"/>
      <c r="N773" s="29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</row>
    <row r="774" customFormat="false" ht="14.25" hidden="false" customHeight="true" outlineLevel="0" collapsed="false">
      <c r="A774" s="148"/>
      <c r="B774" s="148"/>
      <c r="C774" s="148"/>
      <c r="D774" s="141"/>
      <c r="E774" s="131" t="s">
        <v>884</v>
      </c>
      <c r="F774" s="131"/>
      <c r="G774" s="131"/>
      <c r="H774" s="131"/>
      <c r="I774" s="131"/>
      <c r="J774" s="131"/>
      <c r="K774" s="132" t="n">
        <f aca="false">SUM(E773*2)</f>
        <v>30</v>
      </c>
      <c r="L774" s="29"/>
      <c r="M774" s="29"/>
      <c r="N774" s="29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</row>
    <row r="775" customFormat="false" ht="14.25" hidden="false" customHeight="true" outlineLevel="0" collapsed="false">
      <c r="A775" s="157"/>
      <c r="B775" s="157"/>
      <c r="C775" s="157"/>
      <c r="D775" s="157"/>
      <c r="E775" s="131" t="s">
        <v>867</v>
      </c>
      <c r="F775" s="131"/>
      <c r="G775" s="131"/>
      <c r="H775" s="131"/>
      <c r="I775" s="131"/>
      <c r="J775" s="131"/>
      <c r="K775" s="132" t="n">
        <f aca="false">SUM(K774*0.963)</f>
        <v>28.89</v>
      </c>
      <c r="L775" s="29"/>
      <c r="M775" s="29"/>
      <c r="N775" s="29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</row>
    <row r="776" customFormat="false" ht="14.9" hidden="false" customHeight="false" outlineLevel="0" collapsed="false">
      <c r="A776" s="107" t="s">
        <v>617</v>
      </c>
      <c r="B776" s="24" t="s">
        <v>57</v>
      </c>
      <c r="C776" s="23" t="n">
        <v>103675</v>
      </c>
      <c r="D776" s="25" t="s">
        <v>135</v>
      </c>
      <c r="E776" s="23" t="s">
        <v>49</v>
      </c>
      <c r="F776" s="26" t="n">
        <f aca="false">SUM(E778:E778)</f>
        <v>1.125</v>
      </c>
      <c r="G776" s="109"/>
      <c r="H776" s="109"/>
      <c r="I776" s="109"/>
      <c r="J776" s="109"/>
      <c r="K776" s="109"/>
      <c r="L776" s="29"/>
      <c r="M776" s="29"/>
      <c r="N776" s="29"/>
      <c r="O776" s="29"/>
      <c r="P776" s="29"/>
      <c r="XFD776" s="152"/>
    </row>
    <row r="777" customFormat="false" ht="14.25" hidden="false" customHeight="false" outlineLevel="0" collapsed="false">
      <c r="A777" s="150" t="s">
        <v>834</v>
      </c>
      <c r="B777" s="150"/>
      <c r="C777" s="150"/>
      <c r="D777" s="135" t="s">
        <v>885</v>
      </c>
      <c r="E777" s="135"/>
      <c r="F777" s="135"/>
      <c r="G777" s="135"/>
      <c r="H777" s="135"/>
      <c r="I777" s="135"/>
      <c r="J777" s="135"/>
      <c r="K777" s="135"/>
    </row>
    <row r="778" customFormat="false" ht="14.25" hidden="false" customHeight="false" outlineLevel="0" collapsed="false">
      <c r="A778" s="158"/>
      <c r="B778" s="156"/>
      <c r="C778" s="156"/>
      <c r="D778" s="123" t="s">
        <v>886</v>
      </c>
      <c r="E778" s="123" t="n">
        <f aca="false">SUM(E760*0.25*0.3)</f>
        <v>1.125</v>
      </c>
      <c r="F778" s="153"/>
      <c r="G778" s="153"/>
      <c r="H778" s="153"/>
      <c r="I778" s="153"/>
      <c r="J778" s="153"/>
      <c r="K778" s="137"/>
    </row>
    <row r="779" customFormat="false" ht="14.25" hidden="false" customHeight="false" outlineLevel="0" collapsed="false">
      <c r="A779" s="117" t="s">
        <v>155</v>
      </c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29"/>
      <c r="M779" s="29"/>
      <c r="N779" s="29"/>
      <c r="O779" s="29"/>
      <c r="P779" s="29"/>
      <c r="XFD779" s="14"/>
    </row>
    <row r="780" customFormat="false" ht="14.25" hidden="false" customHeight="false" outlineLevel="0" collapsed="false">
      <c r="A780" s="107" t="s">
        <v>618</v>
      </c>
      <c r="B780" s="31" t="s">
        <v>26</v>
      </c>
      <c r="C780" s="23" t="s">
        <v>620</v>
      </c>
      <c r="D780" s="25" t="s">
        <v>621</v>
      </c>
      <c r="E780" s="23" t="s">
        <v>19</v>
      </c>
      <c r="F780" s="26" t="n">
        <f aca="false">SUM(E783:E805)</f>
        <v>293.15</v>
      </c>
      <c r="G780" s="27" t="n">
        <v>3.21</v>
      </c>
      <c r="H780" s="27" t="n">
        <f aca="false">G780*F780</f>
        <v>941.0115</v>
      </c>
      <c r="I780" s="28" t="n">
        <v>5.2223</v>
      </c>
      <c r="J780" s="27" t="n">
        <f aca="false">ROUND(G780*I780,2)</f>
        <v>16.76</v>
      </c>
      <c r="K780" s="138" t="n">
        <f aca="false">J780*F780</f>
        <v>4913.194</v>
      </c>
      <c r="L780" s="29"/>
      <c r="M780" s="29"/>
      <c r="N780" s="29"/>
      <c r="O780" s="29"/>
      <c r="P780" s="2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XFD780" s="14"/>
    </row>
    <row r="781" customFormat="false" ht="14.25" hidden="false" customHeight="false" outlineLevel="0" collapsed="false">
      <c r="A781" s="218" t="s">
        <v>953</v>
      </c>
      <c r="B781" s="218"/>
      <c r="C781" s="218"/>
      <c r="D781" s="218"/>
      <c r="E781" s="218"/>
      <c r="F781" s="219"/>
      <c r="G781" s="219"/>
      <c r="H781" s="219"/>
      <c r="I781" s="219"/>
      <c r="J781" s="219"/>
      <c r="K781" s="219"/>
      <c r="L781" s="220"/>
      <c r="M781" s="220"/>
      <c r="N781" s="221"/>
      <c r="O781" s="220"/>
      <c r="P781" s="220"/>
      <c r="Q781" s="29"/>
      <c r="R781" s="29"/>
      <c r="S781" s="29"/>
      <c r="T781" s="29"/>
      <c r="U781" s="2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</row>
    <row r="782" customFormat="false" ht="14.25" hidden="false" customHeight="false" outlineLevel="0" collapsed="false">
      <c r="A782" s="218" t="s">
        <v>954</v>
      </c>
      <c r="B782" s="222" t="s">
        <v>878</v>
      </c>
      <c r="C782" s="222" t="s">
        <v>955</v>
      </c>
      <c r="D782" s="222" t="s">
        <v>956</v>
      </c>
      <c r="E782" s="222" t="s">
        <v>957</v>
      </c>
      <c r="F782" s="219"/>
      <c r="G782" s="219"/>
      <c r="H782" s="219"/>
      <c r="I782" s="219"/>
      <c r="J782" s="219"/>
      <c r="K782" s="219"/>
      <c r="L782" s="220"/>
      <c r="M782" s="220"/>
      <c r="N782" s="221"/>
      <c r="O782" s="220"/>
      <c r="P782" s="220"/>
      <c r="Q782" s="29"/>
      <c r="R782" s="29"/>
      <c r="S782" s="29"/>
      <c r="T782" s="29"/>
      <c r="U782" s="2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</row>
    <row r="783" customFormat="false" ht="14.25" hidden="false" customHeight="false" outlineLevel="0" collapsed="false">
      <c r="A783" s="223" t="n">
        <v>2</v>
      </c>
      <c r="B783" s="26" t="n">
        <v>3</v>
      </c>
      <c r="C783" s="26" t="n">
        <f aca="false">1.75*1</f>
        <v>1.75</v>
      </c>
      <c r="D783" s="26"/>
      <c r="E783" s="224" t="n">
        <f aca="false">(A783*B783)-C783-D783</f>
        <v>4.25</v>
      </c>
      <c r="F783" s="219"/>
      <c r="G783" s="219"/>
      <c r="H783" s="219"/>
      <c r="I783" s="219"/>
      <c r="J783" s="219"/>
      <c r="K783" s="219"/>
      <c r="L783" s="220"/>
      <c r="M783" s="220"/>
      <c r="N783" s="221"/>
      <c r="O783" s="220"/>
      <c r="P783" s="220"/>
      <c r="Q783" s="29"/>
      <c r="R783" s="29"/>
      <c r="S783" s="29"/>
      <c r="T783" s="29"/>
      <c r="U783" s="2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</row>
    <row r="784" customFormat="false" ht="14.25" hidden="false" customHeight="false" outlineLevel="0" collapsed="false">
      <c r="A784" s="223" t="n">
        <v>4.2</v>
      </c>
      <c r="B784" s="26" t="n">
        <v>3</v>
      </c>
      <c r="C784" s="26" t="n">
        <f aca="false">1*1</f>
        <v>1</v>
      </c>
      <c r="D784" s="26"/>
      <c r="E784" s="224" t="n">
        <f aca="false">(A784*B784)-C784-D784</f>
        <v>11.6</v>
      </c>
      <c r="F784" s="219"/>
      <c r="G784" s="219"/>
      <c r="H784" s="219"/>
      <c r="I784" s="219"/>
      <c r="J784" s="219"/>
      <c r="K784" s="219"/>
      <c r="L784" s="220"/>
      <c r="M784" s="220"/>
      <c r="N784" s="221"/>
      <c r="O784" s="220"/>
      <c r="P784" s="220"/>
      <c r="Q784" s="29"/>
      <c r="R784" s="29"/>
      <c r="S784" s="29"/>
      <c r="T784" s="29"/>
      <c r="U784" s="2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</row>
    <row r="785" customFormat="false" ht="14.25" hidden="false" customHeight="false" outlineLevel="0" collapsed="false">
      <c r="A785" s="223" t="n">
        <v>4.2</v>
      </c>
      <c r="B785" s="26" t="n">
        <v>3</v>
      </c>
      <c r="C785" s="26" t="n">
        <f aca="false">0.8*2.1</f>
        <v>1.68</v>
      </c>
      <c r="D785" s="26"/>
      <c r="E785" s="224" t="n">
        <f aca="false">(A785*B785)-C785-D785</f>
        <v>10.92</v>
      </c>
      <c r="F785" s="219"/>
      <c r="G785" s="219"/>
      <c r="H785" s="219"/>
      <c r="I785" s="219"/>
      <c r="J785" s="219"/>
      <c r="K785" s="219"/>
      <c r="L785" s="220"/>
      <c r="M785" s="220"/>
      <c r="N785" s="221"/>
      <c r="O785" s="220"/>
      <c r="P785" s="220"/>
      <c r="Q785" s="29"/>
      <c r="R785" s="29"/>
      <c r="S785" s="29"/>
      <c r="T785" s="29"/>
      <c r="U785" s="2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XFD785" s="14"/>
    </row>
    <row r="786" customFormat="false" ht="14.25" hidden="false" customHeight="false" outlineLevel="0" collapsed="false">
      <c r="A786" s="223" t="n">
        <v>2</v>
      </c>
      <c r="B786" s="26" t="n">
        <v>3</v>
      </c>
      <c r="C786" s="26" t="n">
        <v>0</v>
      </c>
      <c r="D786" s="26"/>
      <c r="E786" s="224" t="n">
        <f aca="false">(A786*B786)-C786-D786</f>
        <v>6</v>
      </c>
      <c r="F786" s="219"/>
      <c r="G786" s="219"/>
      <c r="H786" s="219"/>
      <c r="I786" s="219"/>
      <c r="J786" s="219"/>
      <c r="K786" s="219"/>
      <c r="L786" s="220"/>
      <c r="M786" s="220"/>
      <c r="N786" s="221"/>
      <c r="O786" s="220"/>
      <c r="P786" s="220"/>
      <c r="Q786" s="29"/>
      <c r="R786" s="29"/>
      <c r="S786" s="29"/>
      <c r="T786" s="29"/>
      <c r="U786" s="2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</row>
    <row r="787" customFormat="false" ht="14.25" hidden="false" customHeight="false" outlineLevel="0" collapsed="false">
      <c r="A787" s="223" t="n">
        <v>2.3</v>
      </c>
      <c r="B787" s="26" t="n">
        <v>3</v>
      </c>
      <c r="C787" s="26" t="n">
        <f aca="false">1.75*1</f>
        <v>1.75</v>
      </c>
      <c r="D787" s="26"/>
      <c r="E787" s="224" t="n">
        <f aca="false">(A787*B787)-C787-D787</f>
        <v>5.15</v>
      </c>
      <c r="F787" s="219"/>
      <c r="G787" s="219"/>
      <c r="H787" s="219"/>
      <c r="I787" s="219"/>
      <c r="J787" s="219"/>
      <c r="K787" s="219"/>
      <c r="L787" s="220"/>
      <c r="M787" s="220"/>
      <c r="N787" s="221"/>
      <c r="O787" s="220"/>
      <c r="P787" s="220"/>
      <c r="Q787" s="29"/>
      <c r="R787" s="29"/>
      <c r="S787" s="29"/>
      <c r="T787" s="29"/>
      <c r="U787" s="2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</row>
    <row r="788" s="46" customFormat="true" ht="14.25" hidden="false" customHeight="false" outlineLevel="0" collapsed="false">
      <c r="A788" s="223" t="n">
        <v>4.5</v>
      </c>
      <c r="B788" s="26" t="n">
        <v>3</v>
      </c>
      <c r="C788" s="26" t="n">
        <f aca="false">1*1</f>
        <v>1</v>
      </c>
      <c r="D788" s="26"/>
      <c r="E788" s="224" t="n">
        <f aca="false">(A788*B788)-C788-D788</f>
        <v>12.5</v>
      </c>
      <c r="F788" s="219"/>
      <c r="G788" s="219"/>
      <c r="H788" s="219"/>
      <c r="I788" s="219"/>
      <c r="J788" s="219"/>
      <c r="K788" s="219"/>
      <c r="L788" s="220"/>
      <c r="M788" s="220"/>
      <c r="N788" s="221"/>
      <c r="O788" s="220"/>
      <c r="P788" s="220"/>
      <c r="Q788" s="29"/>
      <c r="R788" s="29"/>
      <c r="S788" s="29"/>
      <c r="T788" s="29"/>
      <c r="U788" s="2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XFD788" s="0"/>
    </row>
    <row r="789" customFormat="false" ht="14.25" hidden="false" customHeight="false" outlineLevel="0" collapsed="false">
      <c r="A789" s="223" t="n">
        <v>4.5</v>
      </c>
      <c r="B789" s="26" t="n">
        <v>3</v>
      </c>
      <c r="C789" s="26" t="n">
        <f aca="false">0.8*2.1</f>
        <v>1.68</v>
      </c>
      <c r="D789" s="26"/>
      <c r="E789" s="224" t="n">
        <f aca="false">(A789*B789)-C789-D789</f>
        <v>11.82</v>
      </c>
      <c r="F789" s="219"/>
      <c r="G789" s="219"/>
      <c r="H789" s="219"/>
      <c r="I789" s="219"/>
      <c r="J789" s="219"/>
      <c r="K789" s="219"/>
      <c r="L789" s="220"/>
      <c r="M789" s="220"/>
      <c r="N789" s="221"/>
      <c r="O789" s="220"/>
      <c r="P789" s="220"/>
      <c r="Q789" s="29"/>
      <c r="R789" s="29"/>
      <c r="S789" s="29"/>
      <c r="T789" s="29"/>
      <c r="U789" s="2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</row>
    <row r="790" customFormat="false" ht="14.25" hidden="false" customHeight="false" outlineLevel="0" collapsed="false">
      <c r="A790" s="223" t="n">
        <v>5.6</v>
      </c>
      <c r="B790" s="26" t="n">
        <v>3</v>
      </c>
      <c r="C790" s="26" t="n">
        <f aca="false">3.5*2.1</f>
        <v>7.35</v>
      </c>
      <c r="D790" s="26"/>
      <c r="E790" s="224" t="n">
        <f aca="false">(A790*B790)-C790-D790</f>
        <v>9.45</v>
      </c>
      <c r="F790" s="219"/>
      <c r="G790" s="219"/>
      <c r="H790" s="219"/>
      <c r="I790" s="219"/>
      <c r="J790" s="219"/>
      <c r="K790" s="219"/>
      <c r="L790" s="220"/>
      <c r="M790" s="220"/>
      <c r="N790" s="221"/>
      <c r="O790" s="220"/>
      <c r="P790" s="220"/>
      <c r="Q790" s="29"/>
      <c r="R790" s="29"/>
      <c r="S790" s="29"/>
      <c r="T790" s="29"/>
      <c r="U790" s="2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</row>
    <row r="791" customFormat="false" ht="14.25" hidden="false" customHeight="false" outlineLevel="0" collapsed="false">
      <c r="A791" s="223" t="n">
        <v>5.1</v>
      </c>
      <c r="B791" s="26" t="n">
        <v>3</v>
      </c>
      <c r="C791" s="26" t="n">
        <f aca="false">3*1</f>
        <v>3</v>
      </c>
      <c r="D791" s="26"/>
      <c r="E791" s="224" t="n">
        <f aca="false">(A791*B791)-C791-D791</f>
        <v>12.3</v>
      </c>
      <c r="F791" s="219"/>
      <c r="G791" s="219"/>
      <c r="H791" s="219"/>
      <c r="I791" s="219"/>
      <c r="J791" s="219"/>
      <c r="K791" s="219"/>
      <c r="L791" s="220"/>
      <c r="M791" s="220"/>
      <c r="N791" s="221"/>
      <c r="O791" s="220"/>
      <c r="P791" s="220"/>
      <c r="Q791" s="29"/>
      <c r="R791" s="29"/>
      <c r="S791" s="29"/>
      <c r="T791" s="29"/>
      <c r="U791" s="2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</row>
    <row r="792" customFormat="false" ht="14.25" hidden="false" customHeight="false" outlineLevel="0" collapsed="false">
      <c r="A792" s="223" t="n">
        <v>2.93</v>
      </c>
      <c r="B792" s="26" t="n">
        <v>3</v>
      </c>
      <c r="C792" s="26" t="n">
        <f aca="false">0.8*2.1</f>
        <v>1.68</v>
      </c>
      <c r="D792" s="26"/>
      <c r="E792" s="224" t="n">
        <f aca="false">(A792*B792)-C792-D792</f>
        <v>7.11</v>
      </c>
      <c r="F792" s="219"/>
      <c r="G792" s="219"/>
      <c r="H792" s="219"/>
      <c r="I792" s="219"/>
      <c r="J792" s="219"/>
      <c r="K792" s="219"/>
      <c r="L792" s="220"/>
      <c r="M792" s="220"/>
      <c r="N792" s="221"/>
      <c r="O792" s="220"/>
      <c r="P792" s="220"/>
      <c r="Q792" s="29"/>
      <c r="R792" s="29"/>
      <c r="S792" s="29"/>
      <c r="T792" s="29"/>
      <c r="U792" s="2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</row>
    <row r="793" customFormat="false" ht="14.25" hidden="false" customHeight="false" outlineLevel="0" collapsed="false">
      <c r="A793" s="223" t="n">
        <v>1.14</v>
      </c>
      <c r="B793" s="26" t="n">
        <v>3</v>
      </c>
      <c r="C793" s="26" t="n">
        <f aca="false">1*0.6</f>
        <v>0.6</v>
      </c>
      <c r="D793" s="26"/>
      <c r="E793" s="224" t="n">
        <f aca="false">(A793*B793)-C793-D793</f>
        <v>2.82</v>
      </c>
      <c r="F793" s="219"/>
      <c r="G793" s="219"/>
      <c r="H793" s="219"/>
      <c r="I793" s="219"/>
      <c r="J793" s="219"/>
      <c r="K793" s="219"/>
      <c r="L793" s="220"/>
      <c r="M793" s="220"/>
      <c r="N793" s="221"/>
      <c r="O793" s="220"/>
      <c r="P793" s="220"/>
      <c r="Q793" s="29"/>
      <c r="R793" s="29"/>
      <c r="S793" s="29"/>
      <c r="T793" s="29"/>
      <c r="U793" s="2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</row>
    <row r="794" customFormat="false" ht="14.25" hidden="false" customHeight="false" outlineLevel="0" collapsed="false">
      <c r="A794" s="223" t="n">
        <v>2.75</v>
      </c>
      <c r="B794" s="26" t="n">
        <v>3</v>
      </c>
      <c r="C794" s="26" t="n">
        <f aca="false">1.5*1</f>
        <v>1.5</v>
      </c>
      <c r="D794" s="26"/>
      <c r="E794" s="224" t="n">
        <f aca="false">(A794*B794)-C794-D794</f>
        <v>6.75</v>
      </c>
      <c r="F794" s="219"/>
      <c r="G794" s="219"/>
      <c r="H794" s="219"/>
      <c r="I794" s="219"/>
      <c r="J794" s="219"/>
      <c r="K794" s="219"/>
      <c r="L794" s="220"/>
      <c r="M794" s="220"/>
      <c r="N794" s="221"/>
      <c r="O794" s="220"/>
      <c r="P794" s="220"/>
      <c r="Q794" s="29"/>
      <c r="R794" s="29"/>
      <c r="S794" s="29"/>
      <c r="T794" s="29"/>
      <c r="U794" s="2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</row>
    <row r="795" customFormat="false" ht="14.25" hidden="false" customHeight="false" outlineLevel="0" collapsed="false">
      <c r="A795" s="223" t="n">
        <v>3</v>
      </c>
      <c r="B795" s="26" t="n">
        <v>3</v>
      </c>
      <c r="C795" s="26" t="n">
        <v>0</v>
      </c>
      <c r="D795" s="26"/>
      <c r="E795" s="224" t="n">
        <f aca="false">(A795*B795)-C795-D795</f>
        <v>9</v>
      </c>
      <c r="F795" s="219"/>
      <c r="G795" s="219"/>
      <c r="H795" s="219"/>
      <c r="I795" s="219"/>
      <c r="J795" s="219"/>
      <c r="K795" s="219"/>
      <c r="L795" s="220"/>
      <c r="M795" s="220"/>
      <c r="N795" s="221"/>
      <c r="O795" s="220"/>
      <c r="P795" s="220"/>
      <c r="Q795" s="29"/>
      <c r="R795" s="29"/>
      <c r="S795" s="29"/>
      <c r="T795" s="29"/>
      <c r="U795" s="2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</row>
    <row r="796" customFormat="false" ht="14.25" hidden="false" customHeight="false" outlineLevel="0" collapsed="false">
      <c r="A796" s="223" t="n">
        <v>1</v>
      </c>
      <c r="B796" s="26" t="n">
        <v>3</v>
      </c>
      <c r="C796" s="26" t="n">
        <v>0</v>
      </c>
      <c r="D796" s="26"/>
      <c r="E796" s="224" t="n">
        <f aca="false">(A796*B796)-C796-D796</f>
        <v>3</v>
      </c>
      <c r="F796" s="219"/>
      <c r="G796" s="219"/>
      <c r="H796" s="219"/>
      <c r="I796" s="219"/>
      <c r="J796" s="219"/>
      <c r="K796" s="219"/>
      <c r="L796" s="220"/>
      <c r="M796" s="220"/>
      <c r="N796" s="221"/>
      <c r="O796" s="220"/>
      <c r="P796" s="220"/>
      <c r="Q796" s="29"/>
      <c r="R796" s="29"/>
      <c r="S796" s="29"/>
      <c r="T796" s="29"/>
      <c r="U796" s="2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</row>
    <row r="797" customFormat="false" ht="14.25" hidden="false" customHeight="false" outlineLevel="0" collapsed="false">
      <c r="A797" s="223" t="n">
        <v>3.4</v>
      </c>
      <c r="B797" s="26" t="n">
        <v>3</v>
      </c>
      <c r="C797" s="26" t="n">
        <f aca="false">0.8*2.1</f>
        <v>1.68</v>
      </c>
      <c r="D797" s="26"/>
      <c r="E797" s="224" t="n">
        <f aca="false">(A797*B797)-C797-D797</f>
        <v>8.52</v>
      </c>
      <c r="F797" s="219"/>
      <c r="G797" s="219"/>
      <c r="H797" s="219"/>
      <c r="I797" s="219"/>
      <c r="J797" s="219"/>
      <c r="K797" s="219"/>
      <c r="L797" s="220"/>
      <c r="M797" s="220"/>
      <c r="N797" s="221"/>
      <c r="O797" s="220"/>
      <c r="P797" s="220"/>
      <c r="Q797" s="29"/>
      <c r="R797" s="29"/>
      <c r="S797" s="29"/>
      <c r="T797" s="29"/>
      <c r="U797" s="2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</row>
    <row r="798" customFormat="false" ht="14.25" hidden="false" customHeight="false" outlineLevel="0" collapsed="false">
      <c r="A798" s="223" t="n">
        <v>0.95</v>
      </c>
      <c r="B798" s="26" t="n">
        <v>3</v>
      </c>
      <c r="C798" s="26" t="n">
        <v>0</v>
      </c>
      <c r="D798" s="26"/>
      <c r="E798" s="224" t="n">
        <f aca="false">(A798*B798)-C798-D798</f>
        <v>2.85</v>
      </c>
      <c r="F798" s="219"/>
      <c r="G798" s="219"/>
      <c r="H798" s="219"/>
      <c r="I798" s="219"/>
      <c r="J798" s="219"/>
      <c r="K798" s="219"/>
      <c r="L798" s="220"/>
      <c r="M798" s="220"/>
      <c r="N798" s="221"/>
      <c r="O798" s="220"/>
      <c r="P798" s="220"/>
      <c r="Q798" s="29"/>
      <c r="R798" s="29"/>
      <c r="S798" s="29"/>
      <c r="T798" s="29"/>
      <c r="U798" s="2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</row>
    <row r="799" customFormat="false" ht="14.25" hidden="false" customHeight="false" outlineLevel="0" collapsed="false">
      <c r="A799" s="223" t="n">
        <v>4</v>
      </c>
      <c r="B799" s="26" t="n">
        <v>3</v>
      </c>
      <c r="C799" s="26" t="n">
        <f aca="false">(1.5*0.6)+(0.8*2.1)</f>
        <v>2.58</v>
      </c>
      <c r="D799" s="26"/>
      <c r="E799" s="224" t="n">
        <f aca="false">(A799*B799)-C799-D799</f>
        <v>9.42</v>
      </c>
      <c r="F799" s="219"/>
      <c r="G799" s="219"/>
      <c r="H799" s="219"/>
      <c r="I799" s="219"/>
      <c r="J799" s="219"/>
      <c r="K799" s="219"/>
      <c r="L799" s="220"/>
      <c r="M799" s="220"/>
      <c r="N799" s="221"/>
      <c r="O799" s="220"/>
      <c r="P799" s="220"/>
      <c r="Q799" s="29"/>
      <c r="R799" s="29"/>
      <c r="S799" s="29"/>
      <c r="T799" s="29"/>
      <c r="U799" s="2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</row>
    <row r="800" customFormat="false" ht="14.25" hidden="false" customHeight="false" outlineLevel="0" collapsed="false">
      <c r="A800" s="223" t="n">
        <f aca="false">3.8*2</f>
        <v>7.6</v>
      </c>
      <c r="B800" s="26" t="n">
        <v>3</v>
      </c>
      <c r="C800" s="26" t="n">
        <v>0</v>
      </c>
      <c r="D800" s="26"/>
      <c r="E800" s="224" t="n">
        <f aca="false">(A800*B800)-C800-D800</f>
        <v>22.8</v>
      </c>
      <c r="F800" s="219"/>
      <c r="G800" s="219"/>
      <c r="H800" s="219"/>
      <c r="I800" s="219"/>
      <c r="J800" s="219"/>
      <c r="K800" s="219"/>
      <c r="L800" s="220"/>
      <c r="M800" s="220"/>
      <c r="N800" s="221"/>
      <c r="O800" s="220"/>
      <c r="P800" s="220"/>
      <c r="Q800" s="29"/>
      <c r="R800" s="29"/>
      <c r="S800" s="29"/>
      <c r="T800" s="29"/>
      <c r="U800" s="2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</row>
    <row r="801" customFormat="false" ht="14.25" hidden="false" customHeight="false" outlineLevel="0" collapsed="false">
      <c r="A801" s="223" t="n">
        <v>3.1</v>
      </c>
      <c r="B801" s="26" t="n">
        <v>3</v>
      </c>
      <c r="C801" s="26" t="n">
        <v>0</v>
      </c>
      <c r="D801" s="26"/>
      <c r="E801" s="224" t="n">
        <f aca="false">(A801*B801)-C801-D801</f>
        <v>9.3</v>
      </c>
      <c r="F801" s="219"/>
      <c r="G801" s="219"/>
      <c r="H801" s="219"/>
      <c r="I801" s="219"/>
      <c r="J801" s="219"/>
      <c r="K801" s="219"/>
      <c r="L801" s="220"/>
      <c r="M801" s="220"/>
      <c r="N801" s="221"/>
      <c r="O801" s="220"/>
      <c r="P801" s="220"/>
      <c r="Q801" s="29"/>
      <c r="R801" s="29"/>
      <c r="S801" s="29"/>
      <c r="T801" s="29"/>
      <c r="U801" s="2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</row>
    <row r="802" customFormat="false" ht="14.25" hidden="false" customHeight="false" outlineLevel="0" collapsed="false">
      <c r="A802" s="223" t="n">
        <v>3.1</v>
      </c>
      <c r="B802" s="26" t="n">
        <v>3</v>
      </c>
      <c r="C802" s="26" t="n">
        <f aca="false">0.8*2.1</f>
        <v>1.68</v>
      </c>
      <c r="D802" s="26"/>
      <c r="E802" s="224" t="n">
        <f aca="false">(A802*B802)-C802-D802</f>
        <v>7.62</v>
      </c>
      <c r="F802" s="219"/>
      <c r="G802" s="219"/>
      <c r="H802" s="219"/>
      <c r="I802" s="219"/>
      <c r="J802" s="219"/>
      <c r="K802" s="219"/>
      <c r="L802" s="220"/>
      <c r="M802" s="220"/>
      <c r="N802" s="221"/>
      <c r="O802" s="220"/>
      <c r="P802" s="220"/>
      <c r="Q802" s="29"/>
      <c r="R802" s="29"/>
      <c r="S802" s="29"/>
      <c r="T802" s="29"/>
      <c r="U802" s="2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</row>
    <row r="803" customFormat="false" ht="14.25" hidden="false" customHeight="false" outlineLevel="0" collapsed="false">
      <c r="A803" s="223" t="n">
        <v>3</v>
      </c>
      <c r="B803" s="26" t="n">
        <v>3</v>
      </c>
      <c r="C803" s="26" t="n">
        <f aca="false">0.8*2.1</f>
        <v>1.68</v>
      </c>
      <c r="D803" s="26"/>
      <c r="E803" s="224" t="n">
        <f aca="false">(A803*B803)-C803-D803</f>
        <v>7.32</v>
      </c>
      <c r="F803" s="219"/>
      <c r="G803" s="219"/>
      <c r="H803" s="219"/>
      <c r="I803" s="219"/>
      <c r="J803" s="219"/>
      <c r="K803" s="219"/>
      <c r="L803" s="220"/>
      <c r="M803" s="220"/>
      <c r="N803" s="221"/>
      <c r="O803" s="220"/>
      <c r="P803" s="220"/>
      <c r="Q803" s="29"/>
      <c r="R803" s="29"/>
      <c r="S803" s="29"/>
      <c r="T803" s="29"/>
      <c r="U803" s="2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</row>
    <row r="804" customFormat="false" ht="14.25" hidden="false" customHeight="false" outlineLevel="0" collapsed="false">
      <c r="A804" s="223" t="n">
        <v>3</v>
      </c>
      <c r="B804" s="26" t="n">
        <v>3</v>
      </c>
      <c r="C804" s="26" t="n">
        <f aca="false">1.5*1</f>
        <v>1.5</v>
      </c>
      <c r="D804" s="26"/>
      <c r="E804" s="224" t="n">
        <f aca="false">(A804*B804)-C804-D804</f>
        <v>7.5</v>
      </c>
      <c r="F804" s="219"/>
      <c r="G804" s="219"/>
      <c r="H804" s="219"/>
      <c r="I804" s="219"/>
      <c r="J804" s="219"/>
      <c r="K804" s="219"/>
      <c r="L804" s="220"/>
      <c r="M804" s="220"/>
      <c r="N804" s="221"/>
      <c r="O804" s="220"/>
      <c r="P804" s="220"/>
      <c r="Q804" s="29"/>
      <c r="R804" s="29"/>
      <c r="S804" s="29"/>
      <c r="T804" s="29"/>
      <c r="U804" s="2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</row>
    <row r="805" customFormat="false" ht="14.25" hidden="false" customHeight="false" outlineLevel="0" collapsed="false">
      <c r="A805" s="223" t="n">
        <f aca="false">5.4+0.8+4+2.3+2.8+2.9+1.6+2.15+3.4+2.2+1.6+5.9</f>
        <v>35.05</v>
      </c>
      <c r="B805" s="26" t="n">
        <v>3</v>
      </c>
      <c r="C805" s="26" t="n">
        <v>0</v>
      </c>
      <c r="D805" s="26"/>
      <c r="E805" s="224" t="n">
        <f aca="false">(A805*B805)-C805-D805</f>
        <v>105.15</v>
      </c>
      <c r="F805" s="219"/>
      <c r="G805" s="219"/>
      <c r="H805" s="219"/>
      <c r="I805" s="219"/>
      <c r="J805" s="219"/>
      <c r="K805" s="219"/>
      <c r="L805" s="220"/>
      <c r="M805" s="220"/>
      <c r="N805" s="221"/>
      <c r="O805" s="220"/>
      <c r="P805" s="220"/>
      <c r="Q805" s="29"/>
      <c r="R805" s="29"/>
      <c r="S805" s="29"/>
      <c r="T805" s="29"/>
      <c r="U805" s="2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</row>
    <row r="806" customFormat="false" ht="14.9" hidden="false" customHeight="false" outlineLevel="0" collapsed="false">
      <c r="A806" s="107" t="s">
        <v>619</v>
      </c>
      <c r="B806" s="24" t="s">
        <v>57</v>
      </c>
      <c r="C806" s="23" t="n">
        <v>87879</v>
      </c>
      <c r="D806" s="25" t="s">
        <v>157</v>
      </c>
      <c r="E806" s="23" t="s">
        <v>19</v>
      </c>
      <c r="F806" s="26" t="n">
        <f aca="false">F780</f>
        <v>293.15</v>
      </c>
      <c r="G806" s="138"/>
      <c r="H806" s="138"/>
      <c r="I806" s="138"/>
      <c r="J806" s="138"/>
      <c r="K806" s="138"/>
      <c r="L806" s="29"/>
      <c r="M806" s="29"/>
      <c r="N806" s="29"/>
      <c r="O806" s="29"/>
      <c r="P806" s="2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customFormat="false" ht="14.25" hidden="false" customHeight="false" outlineLevel="0" collapsed="false">
      <c r="A807" s="107" t="s">
        <v>622</v>
      </c>
      <c r="B807" s="31" t="s">
        <v>26</v>
      </c>
      <c r="C807" s="23" t="s">
        <v>159</v>
      </c>
      <c r="D807" s="25" t="s">
        <v>160</v>
      </c>
      <c r="E807" s="23" t="s">
        <v>19</v>
      </c>
      <c r="F807" s="26" t="n">
        <f aca="false">F806</f>
        <v>293.15</v>
      </c>
      <c r="G807" s="138"/>
      <c r="H807" s="138"/>
      <c r="I807" s="138"/>
      <c r="J807" s="138"/>
      <c r="K807" s="138"/>
      <c r="L807" s="29"/>
      <c r="M807" s="29"/>
      <c r="N807" s="29"/>
      <c r="O807" s="29"/>
      <c r="P807" s="2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customFormat="false" ht="14.25" hidden="false" customHeight="false" outlineLevel="0" collapsed="false">
      <c r="A808" s="107" t="s">
        <v>623</v>
      </c>
      <c r="B808" s="31" t="s">
        <v>26</v>
      </c>
      <c r="C808" s="23" t="s">
        <v>162</v>
      </c>
      <c r="D808" s="25" t="s">
        <v>163</v>
      </c>
      <c r="E808" s="23" t="s">
        <v>19</v>
      </c>
      <c r="F808" s="26" t="n">
        <f aca="false">F807</f>
        <v>293.15</v>
      </c>
      <c r="G808" s="138"/>
      <c r="H808" s="138"/>
      <c r="I808" s="138"/>
      <c r="J808" s="138"/>
      <c r="K808" s="138"/>
      <c r="L808" s="29"/>
      <c r="M808" s="29"/>
      <c r="N808" s="29"/>
      <c r="O808" s="29"/>
      <c r="P808" s="2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customFormat="false" ht="14.9" hidden="false" customHeight="false" outlineLevel="0" collapsed="false">
      <c r="A809" s="107" t="s">
        <v>624</v>
      </c>
      <c r="B809" s="24" t="s">
        <v>57</v>
      </c>
      <c r="C809" s="23" t="n">
        <v>88411</v>
      </c>
      <c r="D809" s="25" t="s">
        <v>168</v>
      </c>
      <c r="E809" s="23" t="s">
        <v>19</v>
      </c>
      <c r="F809" s="36" t="n">
        <f aca="false">F808</f>
        <v>293.15</v>
      </c>
      <c r="G809" s="138"/>
      <c r="H809" s="138"/>
      <c r="I809" s="138"/>
      <c r="J809" s="138"/>
      <c r="K809" s="138"/>
    </row>
    <row r="810" customFormat="false" ht="14.25" hidden="false" customHeight="false" outlineLevel="0" collapsed="false">
      <c r="A810" s="107" t="s">
        <v>625</v>
      </c>
      <c r="B810" s="24" t="s">
        <v>57</v>
      </c>
      <c r="C810" s="23" t="n">
        <v>88489</v>
      </c>
      <c r="D810" s="25" t="s">
        <v>172</v>
      </c>
      <c r="E810" s="23" t="s">
        <v>19</v>
      </c>
      <c r="F810" s="26" t="n">
        <f aca="false">F808</f>
        <v>293.15</v>
      </c>
      <c r="G810" s="138"/>
      <c r="H810" s="138"/>
      <c r="I810" s="138"/>
      <c r="J810" s="138"/>
      <c r="K810" s="138"/>
      <c r="L810" s="29"/>
      <c r="M810" s="29"/>
      <c r="N810" s="29"/>
      <c r="O810" s="29"/>
      <c r="P810" s="2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customFormat="false" ht="14.25" hidden="false" customHeight="false" outlineLevel="0" collapsed="false">
      <c r="A811" s="164" t="s">
        <v>139</v>
      </c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29"/>
      <c r="M811" s="29"/>
      <c r="N811" s="29"/>
      <c r="O811" s="29"/>
      <c r="P811" s="29"/>
    </row>
    <row r="812" customFormat="false" ht="14.25" hidden="false" customHeight="false" outlineLevel="0" collapsed="false">
      <c r="A812" s="107" t="s">
        <v>626</v>
      </c>
      <c r="B812" s="31" t="s">
        <v>26</v>
      </c>
      <c r="C812" s="23" t="s">
        <v>628</v>
      </c>
      <c r="D812" s="25" t="s">
        <v>629</v>
      </c>
      <c r="E812" s="23" t="s">
        <v>19</v>
      </c>
      <c r="F812" s="26" t="n">
        <v>120</v>
      </c>
      <c r="G812" s="138"/>
      <c r="H812" s="138"/>
      <c r="I812" s="138"/>
      <c r="J812" s="138"/>
      <c r="K812" s="138"/>
      <c r="L812" s="29"/>
      <c r="M812" s="29"/>
      <c r="N812" s="29"/>
      <c r="O812" s="29"/>
      <c r="P812" s="29"/>
    </row>
    <row r="813" customFormat="false" ht="14.25" hidden="false" customHeight="false" outlineLevel="0" collapsed="false">
      <c r="A813" s="107" t="s">
        <v>627</v>
      </c>
      <c r="B813" s="31" t="s">
        <v>26</v>
      </c>
      <c r="C813" s="23" t="s">
        <v>631</v>
      </c>
      <c r="D813" s="25" t="s">
        <v>632</v>
      </c>
      <c r="E813" s="23" t="s">
        <v>19</v>
      </c>
      <c r="F813" s="26" t="n">
        <v>120</v>
      </c>
      <c r="G813" s="138"/>
      <c r="H813" s="138"/>
      <c r="I813" s="138"/>
      <c r="J813" s="138"/>
      <c r="K813" s="138"/>
      <c r="L813" s="29"/>
      <c r="M813" s="29"/>
      <c r="N813" s="29"/>
      <c r="O813" s="29"/>
      <c r="P813" s="29"/>
    </row>
    <row r="814" customFormat="false" ht="14.25" hidden="false" customHeight="false" outlineLevel="0" collapsed="false">
      <c r="A814" s="107" t="s">
        <v>630</v>
      </c>
      <c r="B814" s="30" t="s">
        <v>21</v>
      </c>
      <c r="C814" s="23" t="s">
        <v>254</v>
      </c>
      <c r="D814" s="25" t="s">
        <v>255</v>
      </c>
      <c r="E814" s="23" t="s">
        <v>575</v>
      </c>
      <c r="F814" s="26" t="n">
        <f aca="false">SUM(F812*0.1)+(F813*0.2)</f>
        <v>36</v>
      </c>
      <c r="G814" s="138"/>
      <c r="H814" s="138"/>
      <c r="I814" s="138"/>
      <c r="J814" s="138"/>
      <c r="K814" s="138"/>
    </row>
    <row r="815" customFormat="false" ht="14.25" hidden="false" customHeight="false" outlineLevel="0" collapsed="false">
      <c r="A815" s="107" t="s">
        <v>633</v>
      </c>
      <c r="B815" s="30" t="s">
        <v>21</v>
      </c>
      <c r="C815" s="23" t="s">
        <v>577</v>
      </c>
      <c r="D815" s="25" t="s">
        <v>578</v>
      </c>
      <c r="E815" s="23" t="s">
        <v>84</v>
      </c>
      <c r="F815" s="23" t="n">
        <f aca="false">F814*30</f>
        <v>1080</v>
      </c>
      <c r="G815" s="138"/>
      <c r="H815" s="138"/>
      <c r="I815" s="138"/>
      <c r="J815" s="138"/>
      <c r="K815" s="138"/>
    </row>
    <row r="816" customFormat="false" ht="21.6" hidden="false" customHeight="false" outlineLevel="0" collapsed="false">
      <c r="A816" s="107" t="s">
        <v>634</v>
      </c>
      <c r="B816" s="24" t="s">
        <v>57</v>
      </c>
      <c r="C816" s="23" t="n">
        <v>100360</v>
      </c>
      <c r="D816" s="25" t="s">
        <v>958</v>
      </c>
      <c r="E816" s="23" t="s">
        <v>39</v>
      </c>
      <c r="F816" s="26" t="n">
        <v>4</v>
      </c>
      <c r="G816" s="138"/>
      <c r="H816" s="138"/>
      <c r="I816" s="138"/>
      <c r="J816" s="138"/>
      <c r="K816" s="138"/>
      <c r="L816" s="29"/>
      <c r="M816" s="29"/>
      <c r="N816" s="29"/>
      <c r="O816" s="29"/>
      <c r="P816" s="29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</row>
    <row r="817" customFormat="false" ht="21.6" hidden="false" customHeight="false" outlineLevel="0" collapsed="false">
      <c r="A817" s="107" t="s">
        <v>635</v>
      </c>
      <c r="B817" s="24" t="s">
        <v>57</v>
      </c>
      <c r="C817" s="23" t="n">
        <v>92539</v>
      </c>
      <c r="D817" s="25" t="s">
        <v>638</v>
      </c>
      <c r="E817" s="23" t="s">
        <v>19</v>
      </c>
      <c r="F817" s="26" t="n">
        <v>120</v>
      </c>
      <c r="G817" s="138"/>
      <c r="H817" s="138"/>
      <c r="I817" s="138"/>
      <c r="J817" s="138"/>
      <c r="K817" s="138"/>
      <c r="L817" s="29"/>
      <c r="M817" s="29"/>
      <c r="N817" s="29"/>
      <c r="O817" s="29"/>
      <c r="P817" s="29"/>
    </row>
    <row r="818" customFormat="false" ht="14.9" hidden="false" customHeight="false" outlineLevel="0" collapsed="false">
      <c r="A818" s="107" t="s">
        <v>637</v>
      </c>
      <c r="B818" s="24" t="s">
        <v>57</v>
      </c>
      <c r="C818" s="23" t="n">
        <v>94442</v>
      </c>
      <c r="D818" s="25" t="s">
        <v>640</v>
      </c>
      <c r="E818" s="23" t="s">
        <v>19</v>
      </c>
      <c r="F818" s="26" t="n">
        <v>120</v>
      </c>
      <c r="G818" s="138"/>
      <c r="H818" s="138"/>
      <c r="I818" s="138"/>
      <c r="J818" s="138"/>
      <c r="K818" s="138"/>
      <c r="L818" s="56"/>
      <c r="M818" s="56"/>
      <c r="N818" s="56"/>
      <c r="O818" s="56"/>
      <c r="P818" s="56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</row>
    <row r="819" customFormat="false" ht="14.25" hidden="false" customHeight="false" outlineLevel="0" collapsed="false">
      <c r="A819" s="107" t="s">
        <v>639</v>
      </c>
      <c r="B819" s="30" t="s">
        <v>21</v>
      </c>
      <c r="C819" s="23" t="s">
        <v>148</v>
      </c>
      <c r="D819" s="25" t="s">
        <v>149</v>
      </c>
      <c r="E819" s="23" t="s">
        <v>24</v>
      </c>
      <c r="F819" s="26" t="n">
        <v>70</v>
      </c>
      <c r="G819" s="138"/>
      <c r="H819" s="138"/>
      <c r="I819" s="138"/>
      <c r="J819" s="138"/>
      <c r="K819" s="138"/>
      <c r="L819" s="29"/>
      <c r="M819" s="29"/>
      <c r="N819" s="29"/>
      <c r="O819" s="29"/>
      <c r="P819" s="29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57"/>
      <c r="BP819" s="57"/>
      <c r="BQ819" s="57"/>
      <c r="BR819" s="57"/>
      <c r="BS819" s="57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57"/>
      <c r="CF819" s="57"/>
      <c r="CG819" s="57"/>
      <c r="CH819" s="57"/>
      <c r="CI819" s="57"/>
      <c r="CJ819" s="57"/>
      <c r="CK819" s="57"/>
      <c r="CL819" s="57"/>
      <c r="CM819" s="57"/>
      <c r="CN819" s="57"/>
      <c r="CO819" s="57"/>
      <c r="CP819" s="57"/>
      <c r="CQ819" s="57"/>
      <c r="CR819" s="57"/>
      <c r="CS819" s="57"/>
    </row>
    <row r="820" customFormat="false" ht="14.25" hidden="false" customHeight="false" outlineLevel="0" collapsed="false">
      <c r="A820" s="107" t="s">
        <v>641</v>
      </c>
      <c r="B820" s="30" t="s">
        <v>21</v>
      </c>
      <c r="C820" s="23" t="s">
        <v>151</v>
      </c>
      <c r="D820" s="25" t="s">
        <v>152</v>
      </c>
      <c r="E820" s="23" t="s">
        <v>24</v>
      </c>
      <c r="F820" s="26" t="n">
        <f aca="false">15*3</f>
        <v>45</v>
      </c>
      <c r="G820" s="138"/>
      <c r="H820" s="138"/>
      <c r="I820" s="138"/>
      <c r="J820" s="138"/>
      <c r="K820" s="138"/>
      <c r="L820" s="29"/>
      <c r="M820" s="29"/>
      <c r="N820" s="29"/>
      <c r="O820" s="29"/>
      <c r="P820" s="29"/>
    </row>
    <row r="821" customFormat="false" ht="14.9" hidden="false" customHeight="false" outlineLevel="0" collapsed="false">
      <c r="A821" s="107" t="s">
        <v>642</v>
      </c>
      <c r="B821" s="24" t="s">
        <v>57</v>
      </c>
      <c r="C821" s="23" t="n">
        <v>94231</v>
      </c>
      <c r="D821" s="25" t="s">
        <v>154</v>
      </c>
      <c r="E821" s="23" t="s">
        <v>24</v>
      </c>
      <c r="F821" s="26" t="n">
        <v>30</v>
      </c>
      <c r="G821" s="138"/>
      <c r="H821" s="138"/>
      <c r="I821" s="138"/>
      <c r="J821" s="138"/>
      <c r="K821" s="138"/>
      <c r="L821" s="29"/>
      <c r="M821" s="29"/>
      <c r="N821" s="29"/>
      <c r="O821" s="29"/>
      <c r="P821" s="29"/>
    </row>
    <row r="822" customFormat="false" ht="21.6" hidden="false" customHeight="false" outlineLevel="0" collapsed="false">
      <c r="A822" s="107" t="s">
        <v>643</v>
      </c>
      <c r="B822" s="30" t="s">
        <v>21</v>
      </c>
      <c r="C822" s="23" t="s">
        <v>645</v>
      </c>
      <c r="D822" s="25" t="s">
        <v>959</v>
      </c>
      <c r="E822" s="23" t="s">
        <v>24</v>
      </c>
      <c r="F822" s="26" t="n">
        <f aca="false">5*3</f>
        <v>15</v>
      </c>
      <c r="G822" s="138"/>
      <c r="H822" s="138"/>
      <c r="I822" s="138"/>
      <c r="J822" s="138"/>
      <c r="K822" s="138"/>
      <c r="L822" s="29"/>
      <c r="M822" s="29"/>
      <c r="N822" s="29"/>
      <c r="O822" s="29"/>
      <c r="P822" s="29"/>
    </row>
    <row r="823" customFormat="false" ht="14.25" hidden="false" customHeight="false" outlineLevel="0" collapsed="false">
      <c r="A823" s="225" t="s">
        <v>647</v>
      </c>
      <c r="B823" s="226"/>
      <c r="C823" s="226"/>
      <c r="D823" s="226"/>
      <c r="E823" s="226"/>
      <c r="F823" s="226"/>
      <c r="G823" s="226"/>
      <c r="H823" s="226"/>
      <c r="I823" s="226"/>
      <c r="J823" s="226"/>
      <c r="K823" s="227"/>
      <c r="L823" s="29"/>
      <c r="M823" s="29"/>
      <c r="N823" s="29"/>
      <c r="O823" s="29"/>
      <c r="P823" s="29"/>
    </row>
    <row r="824" customFormat="false" ht="14.25" hidden="false" customHeight="false" outlineLevel="0" collapsed="false">
      <c r="A824" s="107" t="s">
        <v>644</v>
      </c>
      <c r="B824" s="31" t="s">
        <v>26</v>
      </c>
      <c r="C824" s="23" t="s">
        <v>620</v>
      </c>
      <c r="D824" s="25" t="s">
        <v>621</v>
      </c>
      <c r="E824" s="23" t="s">
        <v>19</v>
      </c>
      <c r="F824" s="26" t="n">
        <f aca="false">'MEMORIAL DE CALCULO'!F1165</f>
        <v>0</v>
      </c>
      <c r="G824" s="138"/>
      <c r="H824" s="138"/>
      <c r="I824" s="138"/>
      <c r="J824" s="138"/>
      <c r="K824" s="138"/>
      <c r="L824" s="29"/>
      <c r="M824" s="29"/>
      <c r="N824" s="29"/>
      <c r="O824" s="29"/>
      <c r="P824" s="2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customFormat="false" ht="14.9" hidden="false" customHeight="false" outlineLevel="0" collapsed="false">
      <c r="A825" s="107" t="s">
        <v>648</v>
      </c>
      <c r="B825" s="24" t="s">
        <v>57</v>
      </c>
      <c r="C825" s="23" t="n">
        <v>87879</v>
      </c>
      <c r="D825" s="25" t="s">
        <v>157</v>
      </c>
      <c r="E825" s="23" t="s">
        <v>19</v>
      </c>
      <c r="F825" s="26" t="n">
        <f aca="false">F824</f>
        <v>0</v>
      </c>
      <c r="G825" s="138"/>
      <c r="H825" s="138"/>
      <c r="I825" s="138"/>
      <c r="J825" s="138"/>
      <c r="K825" s="138"/>
      <c r="L825" s="29"/>
      <c r="M825" s="29"/>
      <c r="N825" s="29"/>
      <c r="O825" s="29"/>
      <c r="P825" s="2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customFormat="false" ht="14.25" hidden="false" customHeight="false" outlineLevel="0" collapsed="false">
      <c r="A826" s="107" t="s">
        <v>649</v>
      </c>
      <c r="B826" s="31" t="s">
        <v>26</v>
      </c>
      <c r="C826" s="23" t="s">
        <v>159</v>
      </c>
      <c r="D826" s="25" t="s">
        <v>160</v>
      </c>
      <c r="E826" s="23" t="s">
        <v>19</v>
      </c>
      <c r="F826" s="26" t="n">
        <f aca="false">F824</f>
        <v>0</v>
      </c>
      <c r="G826" s="138"/>
      <c r="H826" s="138"/>
      <c r="I826" s="138"/>
      <c r="J826" s="138"/>
      <c r="K826" s="138"/>
      <c r="L826" s="29"/>
      <c r="M826" s="29"/>
      <c r="N826" s="29"/>
      <c r="O826" s="29"/>
      <c r="P826" s="2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customFormat="false" ht="14.25" hidden="false" customHeight="false" outlineLevel="0" collapsed="false">
      <c r="A827" s="107" t="s">
        <v>650</v>
      </c>
      <c r="B827" s="31" t="s">
        <v>26</v>
      </c>
      <c r="C827" s="23" t="s">
        <v>162</v>
      </c>
      <c r="D827" s="25" t="s">
        <v>163</v>
      </c>
      <c r="E827" s="23" t="s">
        <v>19</v>
      </c>
      <c r="F827" s="26" t="n">
        <f aca="false">F825</f>
        <v>0</v>
      </c>
      <c r="G827" s="138"/>
      <c r="H827" s="138"/>
      <c r="I827" s="138"/>
      <c r="J827" s="138"/>
      <c r="K827" s="138"/>
      <c r="L827" s="29"/>
      <c r="M827" s="29"/>
      <c r="N827" s="29"/>
      <c r="O827" s="29"/>
      <c r="P827" s="2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customFormat="false" ht="14.9" hidden="false" customHeight="false" outlineLevel="0" collapsed="false">
      <c r="A828" s="107" t="s">
        <v>651</v>
      </c>
      <c r="B828" s="24" t="s">
        <v>57</v>
      </c>
      <c r="C828" s="23" t="n">
        <v>88411</v>
      </c>
      <c r="D828" s="25" t="s">
        <v>168</v>
      </c>
      <c r="E828" s="23" t="s">
        <v>19</v>
      </c>
      <c r="F828" s="26" t="n">
        <f aca="false">F826</f>
        <v>0</v>
      </c>
      <c r="G828" s="138"/>
      <c r="H828" s="138"/>
      <c r="I828" s="138"/>
      <c r="J828" s="138"/>
      <c r="K828" s="138"/>
    </row>
    <row r="829" customFormat="false" ht="14.25" hidden="false" customHeight="false" outlineLevel="0" collapsed="false">
      <c r="A829" s="107" t="s">
        <v>652</v>
      </c>
      <c r="B829" s="24" t="s">
        <v>57</v>
      </c>
      <c r="C829" s="23" t="n">
        <v>88489</v>
      </c>
      <c r="D829" s="25" t="s">
        <v>172</v>
      </c>
      <c r="E829" s="23" t="s">
        <v>19</v>
      </c>
      <c r="F829" s="26" t="n">
        <f aca="false">F827</f>
        <v>0</v>
      </c>
      <c r="G829" s="138"/>
      <c r="H829" s="138"/>
      <c r="I829" s="138"/>
      <c r="J829" s="138"/>
      <c r="K829" s="138"/>
      <c r="L829" s="29"/>
      <c r="M829" s="29"/>
      <c r="N829" s="29"/>
      <c r="O829" s="29"/>
      <c r="P829" s="2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customFormat="false" ht="14.25" hidden="false" customHeight="false" outlineLevel="0" collapsed="false">
      <c r="A830" s="117" t="s">
        <v>960</v>
      </c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29"/>
      <c r="M830" s="29"/>
      <c r="N830" s="29"/>
      <c r="O830" s="29"/>
      <c r="P830" s="29"/>
    </row>
    <row r="831" customFormat="false" ht="14.25" hidden="false" customHeight="false" outlineLevel="0" collapsed="false">
      <c r="A831" s="107" t="s">
        <v>653</v>
      </c>
      <c r="B831" s="30" t="s">
        <v>21</v>
      </c>
      <c r="C831" s="23" t="s">
        <v>656</v>
      </c>
      <c r="D831" s="25" t="s">
        <v>657</v>
      </c>
      <c r="E831" s="23" t="s">
        <v>19</v>
      </c>
      <c r="F831" s="26" t="n">
        <f aca="false">(62+15)*2.1</f>
        <v>161.7</v>
      </c>
      <c r="G831" s="138"/>
      <c r="H831" s="138"/>
      <c r="I831" s="138"/>
      <c r="J831" s="138"/>
      <c r="K831" s="138"/>
      <c r="L831" s="29"/>
      <c r="M831" s="29"/>
      <c r="N831" s="29"/>
      <c r="O831" s="29"/>
      <c r="P831" s="2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customFormat="false" ht="14.9" hidden="false" customHeight="false" outlineLevel="0" collapsed="false">
      <c r="A832" s="107" t="s">
        <v>655</v>
      </c>
      <c r="B832" s="31" t="s">
        <v>26</v>
      </c>
      <c r="C832" s="23" t="s">
        <v>659</v>
      </c>
      <c r="D832" s="25" t="s">
        <v>660</v>
      </c>
      <c r="E832" s="23" t="s">
        <v>19</v>
      </c>
      <c r="F832" s="26" t="n">
        <f aca="false">SUM(62+90+9*2.1)</f>
        <v>170.9</v>
      </c>
      <c r="G832" s="138"/>
      <c r="H832" s="138"/>
      <c r="I832" s="138"/>
      <c r="J832" s="138"/>
      <c r="K832" s="138"/>
      <c r="L832" s="29"/>
      <c r="M832" s="29"/>
      <c r="N832" s="29"/>
      <c r="O832" s="29"/>
      <c r="P832" s="2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customFormat="false" ht="14.25" hidden="false" customHeight="false" outlineLevel="0" collapsed="false">
      <c r="A833" s="117" t="s">
        <v>670</v>
      </c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29"/>
      <c r="M833" s="29"/>
      <c r="N833" s="29"/>
      <c r="O833" s="29"/>
      <c r="P833" s="29"/>
    </row>
    <row r="834" customFormat="false" ht="14.25" hidden="false" customHeight="false" outlineLevel="0" collapsed="false">
      <c r="A834" s="107" t="s">
        <v>658</v>
      </c>
      <c r="B834" s="24" t="s">
        <v>57</v>
      </c>
      <c r="C834" s="23" t="n">
        <v>98524</v>
      </c>
      <c r="D834" s="25" t="s">
        <v>672</v>
      </c>
      <c r="E834" s="23" t="s">
        <v>19</v>
      </c>
      <c r="F834" s="26" t="n">
        <v>30</v>
      </c>
      <c r="G834" s="138"/>
      <c r="H834" s="138"/>
      <c r="I834" s="138"/>
      <c r="J834" s="138"/>
      <c r="K834" s="138"/>
      <c r="L834" s="29"/>
      <c r="M834" s="29"/>
      <c r="N834" s="29"/>
      <c r="O834" s="29"/>
      <c r="P834" s="2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customFormat="false" ht="14.9" hidden="false" customHeight="false" outlineLevel="0" collapsed="false">
      <c r="A835" s="107" t="s">
        <v>661</v>
      </c>
      <c r="B835" s="24" t="s">
        <v>57</v>
      </c>
      <c r="C835" s="23" t="n">
        <v>94272</v>
      </c>
      <c r="D835" s="25" t="s">
        <v>674</v>
      </c>
      <c r="E835" s="23" t="s">
        <v>24</v>
      </c>
      <c r="F835" s="26" t="n">
        <v>30</v>
      </c>
      <c r="G835" s="138"/>
      <c r="H835" s="138"/>
      <c r="I835" s="138"/>
      <c r="J835" s="138"/>
      <c r="K835" s="138"/>
      <c r="L835" s="29"/>
      <c r="M835" s="29"/>
      <c r="N835" s="29"/>
      <c r="O835" s="29"/>
      <c r="P835" s="2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customFormat="false" ht="14.25" hidden="false" customHeight="false" outlineLevel="0" collapsed="false">
      <c r="A836" s="195" t="n">
        <v>22</v>
      </c>
      <c r="B836" s="216" t="s">
        <v>780</v>
      </c>
      <c r="C836" s="216"/>
      <c r="D836" s="216"/>
      <c r="E836" s="216"/>
      <c r="F836" s="216"/>
      <c r="G836" s="216"/>
      <c r="H836" s="216"/>
      <c r="I836" s="216"/>
      <c r="J836" s="216"/>
      <c r="K836" s="216"/>
    </row>
    <row r="837" customFormat="false" ht="14.25" hidden="false" customHeight="false" outlineLevel="0" collapsed="false">
      <c r="A837" s="228" t="s">
        <v>961</v>
      </c>
      <c r="B837" s="229"/>
      <c r="C837" s="229"/>
      <c r="D837" s="230" t="s">
        <v>962</v>
      </c>
      <c r="E837" s="230"/>
      <c r="F837" s="230"/>
      <c r="G837" s="230"/>
      <c r="H837" s="230"/>
      <c r="I837" s="230"/>
      <c r="J837" s="230"/>
      <c r="K837" s="231"/>
    </row>
    <row r="838" customFormat="false" ht="21.6" hidden="false" customHeight="false" outlineLevel="0" collapsed="false">
      <c r="A838" s="107" t="s">
        <v>963</v>
      </c>
      <c r="B838" s="31" t="s">
        <v>26</v>
      </c>
      <c r="C838" s="23" t="s">
        <v>47</v>
      </c>
      <c r="D838" s="25" t="s">
        <v>48</v>
      </c>
      <c r="E838" s="23" t="s">
        <v>49</v>
      </c>
      <c r="F838" s="23" t="n">
        <f aca="false">SUM(10.62*18.55)*2*0.2</f>
        <v>78.8004</v>
      </c>
      <c r="G838" s="169"/>
      <c r="H838" s="169"/>
      <c r="I838" s="169"/>
      <c r="J838" s="169"/>
      <c r="K838" s="169"/>
    </row>
    <row r="839" customFormat="false" ht="14.25" hidden="false" customHeight="false" outlineLevel="0" collapsed="false">
      <c r="A839" s="107" t="s">
        <v>964</v>
      </c>
      <c r="B839" s="31" t="s">
        <v>26</v>
      </c>
      <c r="C839" s="23" t="s">
        <v>51</v>
      </c>
      <c r="D839" s="41" t="s">
        <v>52</v>
      </c>
      <c r="E839" s="23" t="s">
        <v>49</v>
      </c>
      <c r="F839" s="23" t="n">
        <f aca="false">SUM(10.62*18.55)*2*0.2</f>
        <v>78.8004</v>
      </c>
      <c r="G839" s="169"/>
      <c r="H839" s="169"/>
      <c r="I839" s="169"/>
      <c r="J839" s="169"/>
      <c r="K839" s="16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customFormat="false" ht="14.9" hidden="false" customHeight="false" outlineLevel="0" collapsed="false">
      <c r="A840" s="107" t="s">
        <v>965</v>
      </c>
      <c r="B840" s="24" t="s">
        <v>57</v>
      </c>
      <c r="C840" s="23" t="n">
        <v>102690</v>
      </c>
      <c r="D840" s="41" t="s">
        <v>784</v>
      </c>
      <c r="E840" s="23" t="s">
        <v>24</v>
      </c>
      <c r="F840" s="111" t="n">
        <v>94.32</v>
      </c>
      <c r="G840" s="169"/>
      <c r="H840" s="169"/>
      <c r="I840" s="169"/>
      <c r="J840" s="169"/>
      <c r="K840" s="169"/>
    </row>
    <row r="841" customFormat="false" ht="14.25" hidden="false" customHeight="false" outlineLevel="0" collapsed="false">
      <c r="A841" s="107" t="s">
        <v>966</v>
      </c>
      <c r="B841" s="24" t="s">
        <v>57</v>
      </c>
      <c r="C841" s="23" t="n">
        <v>93358</v>
      </c>
      <c r="D841" s="41" t="s">
        <v>786</v>
      </c>
      <c r="E841" s="23" t="s">
        <v>24</v>
      </c>
      <c r="F841" s="111" t="n">
        <v>8</v>
      </c>
      <c r="G841" s="169"/>
      <c r="H841" s="169"/>
      <c r="I841" s="169"/>
      <c r="J841" s="169"/>
      <c r="K841" s="169"/>
    </row>
    <row r="842" customFormat="false" ht="14.25" hidden="false" customHeight="false" outlineLevel="0" collapsed="false">
      <c r="A842" s="107" t="s">
        <v>967</v>
      </c>
      <c r="B842" s="24" t="s">
        <v>57</v>
      </c>
      <c r="C842" s="23" t="n">
        <v>102719</v>
      </c>
      <c r="D842" s="41" t="s">
        <v>788</v>
      </c>
      <c r="E842" s="23" t="s">
        <v>49</v>
      </c>
      <c r="F842" s="111" t="n">
        <v>41.8</v>
      </c>
      <c r="G842" s="169"/>
      <c r="H842" s="169"/>
      <c r="I842" s="169"/>
      <c r="J842" s="169"/>
      <c r="K842" s="169"/>
    </row>
    <row r="843" customFormat="false" ht="14.9" hidden="false" customHeight="false" outlineLevel="0" collapsed="false">
      <c r="A843" s="107" t="s">
        <v>968</v>
      </c>
      <c r="B843" s="24" t="s">
        <v>57</v>
      </c>
      <c r="C843" s="23" t="n">
        <v>102712</v>
      </c>
      <c r="D843" s="41" t="s">
        <v>790</v>
      </c>
      <c r="E843" s="23" t="s">
        <v>19</v>
      </c>
      <c r="F843" s="111" t="n">
        <v>418</v>
      </c>
      <c r="G843" s="169"/>
      <c r="H843" s="169"/>
      <c r="I843" s="169"/>
      <c r="J843" s="169"/>
      <c r="K843" s="169"/>
    </row>
    <row r="844" customFormat="false" ht="14.25" hidden="false" customHeight="false" outlineLevel="0" collapsed="false">
      <c r="A844" s="107" t="s">
        <v>969</v>
      </c>
      <c r="B844" s="24" t="s">
        <v>57</v>
      </c>
      <c r="C844" s="23" t="n">
        <v>102718</v>
      </c>
      <c r="D844" s="41" t="s">
        <v>792</v>
      </c>
      <c r="E844" s="23" t="s">
        <v>49</v>
      </c>
      <c r="F844" s="111" t="n">
        <v>125.4</v>
      </c>
      <c r="G844" s="169"/>
      <c r="H844" s="169"/>
      <c r="I844" s="169"/>
      <c r="J844" s="169"/>
      <c r="K844" s="169"/>
    </row>
    <row r="845" customFormat="false" ht="98.85" hidden="false" customHeight="true" outlineLevel="0" collapsed="false">
      <c r="A845" s="232" t="s">
        <v>795</v>
      </c>
      <c r="B845" s="232"/>
      <c r="C845" s="232"/>
      <c r="D845" s="232"/>
      <c r="E845" s="232"/>
      <c r="F845" s="232"/>
      <c r="G845" s="232"/>
      <c r="H845" s="232"/>
      <c r="I845" s="232"/>
      <c r="J845" s="232"/>
      <c r="K845" s="232"/>
    </row>
  </sheetData>
  <mergeCells count="806">
    <mergeCell ref="A1:K1"/>
    <mergeCell ref="A2:K2"/>
    <mergeCell ref="A3:K3"/>
    <mergeCell ref="G4:K4"/>
    <mergeCell ref="B5:J5"/>
    <mergeCell ref="G6:K6"/>
    <mergeCell ref="G7:K7"/>
    <mergeCell ref="G8:K8"/>
    <mergeCell ref="G9:K9"/>
    <mergeCell ref="A10:K10"/>
    <mergeCell ref="B11:J11"/>
    <mergeCell ref="G12:K12"/>
    <mergeCell ref="G13:K13"/>
    <mergeCell ref="G14:K14"/>
    <mergeCell ref="G15:K18"/>
    <mergeCell ref="A16:C18"/>
    <mergeCell ref="D16:E16"/>
    <mergeCell ref="D17:E17"/>
    <mergeCell ref="D18:E18"/>
    <mergeCell ref="G19:K19"/>
    <mergeCell ref="A20:K20"/>
    <mergeCell ref="B21:J21"/>
    <mergeCell ref="A22:K22"/>
    <mergeCell ref="G23:K29"/>
    <mergeCell ref="A30:K30"/>
    <mergeCell ref="D31:J31"/>
    <mergeCell ref="A32:K32"/>
    <mergeCell ref="G33:K35"/>
    <mergeCell ref="A36:K36"/>
    <mergeCell ref="D37:J37"/>
    <mergeCell ref="A38:K38"/>
    <mergeCell ref="G39:K40"/>
    <mergeCell ref="A41:K41"/>
    <mergeCell ref="B42:J42"/>
    <mergeCell ref="A43:K43"/>
    <mergeCell ref="G44:K44"/>
    <mergeCell ref="A45:C45"/>
    <mergeCell ref="D45:K45"/>
    <mergeCell ref="A46:C48"/>
    <mergeCell ref="F46:G46"/>
    <mergeCell ref="J46:K47"/>
    <mergeCell ref="F47:G47"/>
    <mergeCell ref="E48:G48"/>
    <mergeCell ref="H48:K48"/>
    <mergeCell ref="G49:K49"/>
    <mergeCell ref="A50:C50"/>
    <mergeCell ref="D50:K50"/>
    <mergeCell ref="A51:D54"/>
    <mergeCell ref="E51:J51"/>
    <mergeCell ref="E52:J52"/>
    <mergeCell ref="E53:J53"/>
    <mergeCell ref="E54:J54"/>
    <mergeCell ref="G55:K55"/>
    <mergeCell ref="A56:D58"/>
    <mergeCell ref="E56:J56"/>
    <mergeCell ref="E57:J57"/>
    <mergeCell ref="E58:J58"/>
    <mergeCell ref="G59:K59"/>
    <mergeCell ref="A60:D62"/>
    <mergeCell ref="E60:H60"/>
    <mergeCell ref="I60:K60"/>
    <mergeCell ref="E61:G61"/>
    <mergeCell ref="I61:K61"/>
    <mergeCell ref="E62:H62"/>
    <mergeCell ref="I62:K62"/>
    <mergeCell ref="G63:K65"/>
    <mergeCell ref="A64:D64"/>
    <mergeCell ref="A66:D69"/>
    <mergeCell ref="E66:J66"/>
    <mergeCell ref="E67:J67"/>
    <mergeCell ref="E68:J68"/>
    <mergeCell ref="E69:J69"/>
    <mergeCell ref="G70:K70"/>
    <mergeCell ref="A71:D73"/>
    <mergeCell ref="E71:J71"/>
    <mergeCell ref="E72:J72"/>
    <mergeCell ref="E73:J73"/>
    <mergeCell ref="G74:K76"/>
    <mergeCell ref="A76:D76"/>
    <mergeCell ref="A77:K77"/>
    <mergeCell ref="A78:K78"/>
    <mergeCell ref="G79:K79"/>
    <mergeCell ref="A80:C80"/>
    <mergeCell ref="D80:K80"/>
    <mergeCell ref="A81:C83"/>
    <mergeCell ref="F81:G81"/>
    <mergeCell ref="F82:G82"/>
    <mergeCell ref="D83:I83"/>
    <mergeCell ref="J83:K83"/>
    <mergeCell ref="G84:K84"/>
    <mergeCell ref="A85:C85"/>
    <mergeCell ref="E85:J85"/>
    <mergeCell ref="A86:D88"/>
    <mergeCell ref="E86:J86"/>
    <mergeCell ref="E87:J87"/>
    <mergeCell ref="E88:J88"/>
    <mergeCell ref="G89:K89"/>
    <mergeCell ref="A90:C91"/>
    <mergeCell ref="E90:J90"/>
    <mergeCell ref="E91:J91"/>
    <mergeCell ref="A92:D92"/>
    <mergeCell ref="E92:J92"/>
    <mergeCell ref="G93:K94"/>
    <mergeCell ref="A95:C99"/>
    <mergeCell ref="D99:J99"/>
    <mergeCell ref="G100:K100"/>
    <mergeCell ref="A101:C101"/>
    <mergeCell ref="E101:K101"/>
    <mergeCell ref="A102:D102"/>
    <mergeCell ref="E102:K102"/>
    <mergeCell ref="A103:D103"/>
    <mergeCell ref="E103:K103"/>
    <mergeCell ref="G104:K104"/>
    <mergeCell ref="A105:C105"/>
    <mergeCell ref="D105:K105"/>
    <mergeCell ref="A106:D106"/>
    <mergeCell ref="E106:G106"/>
    <mergeCell ref="E107:G107"/>
    <mergeCell ref="G108:K108"/>
    <mergeCell ref="A109:C109"/>
    <mergeCell ref="D109:K109"/>
    <mergeCell ref="A110:C114"/>
    <mergeCell ref="E110:K110"/>
    <mergeCell ref="E111:J111"/>
    <mergeCell ref="E112:J112"/>
    <mergeCell ref="E113:J113"/>
    <mergeCell ref="E114:J114"/>
    <mergeCell ref="G115:K115"/>
    <mergeCell ref="A116:C116"/>
    <mergeCell ref="E116:J116"/>
    <mergeCell ref="A117:C117"/>
    <mergeCell ref="E117:J117"/>
    <mergeCell ref="A118:D118"/>
    <mergeCell ref="E118:J118"/>
    <mergeCell ref="G119:K119"/>
    <mergeCell ref="A120:C120"/>
    <mergeCell ref="E120:J120"/>
    <mergeCell ref="A121:C121"/>
    <mergeCell ref="E121:J121"/>
    <mergeCell ref="A122:D122"/>
    <mergeCell ref="E122:J122"/>
    <mergeCell ref="G123:K123"/>
    <mergeCell ref="A124:C124"/>
    <mergeCell ref="D124:K124"/>
    <mergeCell ref="G126:K126"/>
    <mergeCell ref="A127:K127"/>
    <mergeCell ref="G128:K133"/>
    <mergeCell ref="A134:K134"/>
    <mergeCell ref="G135:K144"/>
    <mergeCell ref="A136:C138"/>
    <mergeCell ref="D136:E136"/>
    <mergeCell ref="D137:E137"/>
    <mergeCell ref="D138:E138"/>
    <mergeCell ref="A145:K145"/>
    <mergeCell ref="G146:K152"/>
    <mergeCell ref="G153:K153"/>
    <mergeCell ref="A154:K154"/>
    <mergeCell ref="G155:K157"/>
    <mergeCell ref="A158:K158"/>
    <mergeCell ref="G159:K162"/>
    <mergeCell ref="A163:K163"/>
    <mergeCell ref="G164:K167"/>
    <mergeCell ref="A168:K168"/>
    <mergeCell ref="G169:K170"/>
    <mergeCell ref="A171:K171"/>
    <mergeCell ref="G172:K173"/>
    <mergeCell ref="A174:K174"/>
    <mergeCell ref="G175:K181"/>
    <mergeCell ref="A182:K182"/>
    <mergeCell ref="G183:K183"/>
    <mergeCell ref="G184:K184"/>
    <mergeCell ref="A185:K185"/>
    <mergeCell ref="B186:K186"/>
    <mergeCell ref="G187:K187"/>
    <mergeCell ref="A188:D189"/>
    <mergeCell ref="H188:K189"/>
    <mergeCell ref="G190:K196"/>
    <mergeCell ref="A197:K197"/>
    <mergeCell ref="B198:K198"/>
    <mergeCell ref="H199:K209"/>
    <mergeCell ref="A200:D201"/>
    <mergeCell ref="A203:D204"/>
    <mergeCell ref="A210:K210"/>
    <mergeCell ref="B211:K211"/>
    <mergeCell ref="G212:K212"/>
    <mergeCell ref="A213:D214"/>
    <mergeCell ref="H213:K214"/>
    <mergeCell ref="G215:K217"/>
    <mergeCell ref="A218:D219"/>
    <mergeCell ref="H218:K219"/>
    <mergeCell ref="G220:K223"/>
    <mergeCell ref="A224:K224"/>
    <mergeCell ref="B225:K225"/>
    <mergeCell ref="G226:K232"/>
    <mergeCell ref="A233:K233"/>
    <mergeCell ref="B234:J234"/>
    <mergeCell ref="A235:K235"/>
    <mergeCell ref="G236:K236"/>
    <mergeCell ref="A237:C237"/>
    <mergeCell ref="D237:K237"/>
    <mergeCell ref="A238:C240"/>
    <mergeCell ref="F238:G238"/>
    <mergeCell ref="F239:G239"/>
    <mergeCell ref="E240:G240"/>
    <mergeCell ref="H240:K240"/>
    <mergeCell ref="G241:K241"/>
    <mergeCell ref="A242:C242"/>
    <mergeCell ref="D242:K242"/>
    <mergeCell ref="A243:C244"/>
    <mergeCell ref="E243:J243"/>
    <mergeCell ref="E244:J244"/>
    <mergeCell ref="A245:D246"/>
    <mergeCell ref="E245:J245"/>
    <mergeCell ref="E246:J246"/>
    <mergeCell ref="G247:K247"/>
    <mergeCell ref="A248:D250"/>
    <mergeCell ref="E248:J248"/>
    <mergeCell ref="E249:J249"/>
    <mergeCell ref="E250:J250"/>
    <mergeCell ref="G251:K251"/>
    <mergeCell ref="A252:H252"/>
    <mergeCell ref="I252:K252"/>
    <mergeCell ref="A253:G253"/>
    <mergeCell ref="I253:K253"/>
    <mergeCell ref="A254:D254"/>
    <mergeCell ref="E254:H254"/>
    <mergeCell ref="I254:K254"/>
    <mergeCell ref="G255:K257"/>
    <mergeCell ref="A256:D256"/>
    <mergeCell ref="A258:C258"/>
    <mergeCell ref="E258:J258"/>
    <mergeCell ref="A259:C259"/>
    <mergeCell ref="E259:J259"/>
    <mergeCell ref="A260:D260"/>
    <mergeCell ref="E260:J260"/>
    <mergeCell ref="A261:D261"/>
    <mergeCell ref="E261:J261"/>
    <mergeCell ref="G262:K262"/>
    <mergeCell ref="A263:C263"/>
    <mergeCell ref="E263:J263"/>
    <mergeCell ref="A264:C264"/>
    <mergeCell ref="E264:J264"/>
    <mergeCell ref="A265:D265"/>
    <mergeCell ref="E265:J265"/>
    <mergeCell ref="G266:K268"/>
    <mergeCell ref="A268:D268"/>
    <mergeCell ref="A269:K269"/>
    <mergeCell ref="A270:K270"/>
    <mergeCell ref="G271:K271"/>
    <mergeCell ref="A272:C272"/>
    <mergeCell ref="D272:K272"/>
    <mergeCell ref="A273:C275"/>
    <mergeCell ref="F273:G273"/>
    <mergeCell ref="H273:I273"/>
    <mergeCell ref="F274:G274"/>
    <mergeCell ref="H274:I274"/>
    <mergeCell ref="D275:I275"/>
    <mergeCell ref="J275:K275"/>
    <mergeCell ref="A277:C277"/>
    <mergeCell ref="E277:J277"/>
    <mergeCell ref="A278:D280"/>
    <mergeCell ref="E278:J278"/>
    <mergeCell ref="E279:J279"/>
    <mergeCell ref="E280:J280"/>
    <mergeCell ref="A282:C282"/>
    <mergeCell ref="E282:J282"/>
    <mergeCell ref="A283:D284"/>
    <mergeCell ref="E283:J283"/>
    <mergeCell ref="E284:J284"/>
    <mergeCell ref="A286:D286"/>
    <mergeCell ref="E286:K286"/>
    <mergeCell ref="A288:C292"/>
    <mergeCell ref="D292:J292"/>
    <mergeCell ref="G293:K293"/>
    <mergeCell ref="A294:C294"/>
    <mergeCell ref="E294:K294"/>
    <mergeCell ref="A295:D295"/>
    <mergeCell ref="E295:K295"/>
    <mergeCell ref="A296:C296"/>
    <mergeCell ref="E296:K296"/>
    <mergeCell ref="A297:D297"/>
    <mergeCell ref="E297:K297"/>
    <mergeCell ref="G298:K298"/>
    <mergeCell ref="A299:C299"/>
    <mergeCell ref="D299:K299"/>
    <mergeCell ref="A300:D300"/>
    <mergeCell ref="E300:G300"/>
    <mergeCell ref="K300:K301"/>
    <mergeCell ref="A301:D301"/>
    <mergeCell ref="E301:G301"/>
    <mergeCell ref="G302:K302"/>
    <mergeCell ref="A303:C303"/>
    <mergeCell ref="D303:K303"/>
    <mergeCell ref="A304:C308"/>
    <mergeCell ref="E304:K304"/>
    <mergeCell ref="E305:J305"/>
    <mergeCell ref="E306:J306"/>
    <mergeCell ref="E307:J307"/>
    <mergeCell ref="E308:J308"/>
    <mergeCell ref="G309:K309"/>
    <mergeCell ref="A310:C311"/>
    <mergeCell ref="E310:J310"/>
    <mergeCell ref="E311:J311"/>
    <mergeCell ref="A312:D312"/>
    <mergeCell ref="E312:J312"/>
    <mergeCell ref="G313:K313"/>
    <mergeCell ref="A314:C315"/>
    <mergeCell ref="E314:J314"/>
    <mergeCell ref="E315:J315"/>
    <mergeCell ref="A316:D316"/>
    <mergeCell ref="E316:J316"/>
    <mergeCell ref="G317:K317"/>
    <mergeCell ref="A318:C318"/>
    <mergeCell ref="D318:K318"/>
    <mergeCell ref="G320:K320"/>
    <mergeCell ref="A321:K321"/>
    <mergeCell ref="A322:K322"/>
    <mergeCell ref="G323:K328"/>
    <mergeCell ref="A329:K329"/>
    <mergeCell ref="A330:K330"/>
    <mergeCell ref="G331:K331"/>
    <mergeCell ref="A332:D341"/>
    <mergeCell ref="I332:K341"/>
    <mergeCell ref="E336:G336"/>
    <mergeCell ref="E340:G340"/>
    <mergeCell ref="E341:F341"/>
    <mergeCell ref="G341:H341"/>
    <mergeCell ref="G342:K347"/>
    <mergeCell ref="A348:K348"/>
    <mergeCell ref="A349:K349"/>
    <mergeCell ref="G350:K357"/>
    <mergeCell ref="A358:K358"/>
    <mergeCell ref="A359:K359"/>
    <mergeCell ref="G360:K361"/>
    <mergeCell ref="A362:K362"/>
    <mergeCell ref="A363:K363"/>
    <mergeCell ref="G364:K366"/>
    <mergeCell ref="A367:K367"/>
    <mergeCell ref="A368:K368"/>
    <mergeCell ref="G369:K372"/>
    <mergeCell ref="A373:K373"/>
    <mergeCell ref="A374:K374"/>
    <mergeCell ref="G375:K380"/>
    <mergeCell ref="A376:C377"/>
    <mergeCell ref="D376:E376"/>
    <mergeCell ref="D377:E377"/>
    <mergeCell ref="A379:C380"/>
    <mergeCell ref="D379:E379"/>
    <mergeCell ref="D380:E380"/>
    <mergeCell ref="A381:K381"/>
    <mergeCell ref="A382:K382"/>
    <mergeCell ref="G383:K386"/>
    <mergeCell ref="A387:K387"/>
    <mergeCell ref="A388:K388"/>
    <mergeCell ref="G389:K390"/>
    <mergeCell ref="A391:K391"/>
    <mergeCell ref="A392:K392"/>
    <mergeCell ref="G393:K394"/>
    <mergeCell ref="A395:K395"/>
    <mergeCell ref="B396:K396"/>
    <mergeCell ref="G397:K406"/>
    <mergeCell ref="A407:K407"/>
    <mergeCell ref="B408:K408"/>
    <mergeCell ref="G409:K412"/>
    <mergeCell ref="A413:K413"/>
    <mergeCell ref="B414:J414"/>
    <mergeCell ref="A415:K415"/>
    <mergeCell ref="G416:K416"/>
    <mergeCell ref="A417:C417"/>
    <mergeCell ref="D417:K417"/>
    <mergeCell ref="A418:C420"/>
    <mergeCell ref="F418:G418"/>
    <mergeCell ref="F419:G419"/>
    <mergeCell ref="E420:G420"/>
    <mergeCell ref="H420:K420"/>
    <mergeCell ref="G421:K421"/>
    <mergeCell ref="A422:C422"/>
    <mergeCell ref="D422:K422"/>
    <mergeCell ref="A423:C424"/>
    <mergeCell ref="E423:J423"/>
    <mergeCell ref="E424:J424"/>
    <mergeCell ref="A425:D426"/>
    <mergeCell ref="E425:J425"/>
    <mergeCell ref="E426:J426"/>
    <mergeCell ref="G427:K427"/>
    <mergeCell ref="A428:D430"/>
    <mergeCell ref="E428:J428"/>
    <mergeCell ref="E429:J429"/>
    <mergeCell ref="E430:J430"/>
    <mergeCell ref="G431:K431"/>
    <mergeCell ref="A432:H432"/>
    <mergeCell ref="I432:K432"/>
    <mergeCell ref="A433:G433"/>
    <mergeCell ref="I433:K433"/>
    <mergeCell ref="A434:D434"/>
    <mergeCell ref="E434:H434"/>
    <mergeCell ref="I434:K434"/>
    <mergeCell ref="A436:D436"/>
    <mergeCell ref="A438:C438"/>
    <mergeCell ref="E438:J438"/>
    <mergeCell ref="A439:C439"/>
    <mergeCell ref="E439:J439"/>
    <mergeCell ref="A440:D440"/>
    <mergeCell ref="E440:J440"/>
    <mergeCell ref="A441:D441"/>
    <mergeCell ref="E441:J441"/>
    <mergeCell ref="A443:C443"/>
    <mergeCell ref="E443:J443"/>
    <mergeCell ref="A444:C444"/>
    <mergeCell ref="E444:J444"/>
    <mergeCell ref="A445:D445"/>
    <mergeCell ref="E445:J445"/>
    <mergeCell ref="G446:K452"/>
    <mergeCell ref="A454:C454"/>
    <mergeCell ref="D454:K454"/>
    <mergeCell ref="A455:C457"/>
    <mergeCell ref="F455:G455"/>
    <mergeCell ref="H455:I455"/>
    <mergeCell ref="F456:G456"/>
    <mergeCell ref="H456:I456"/>
    <mergeCell ref="D457:I457"/>
    <mergeCell ref="J457:K457"/>
    <mergeCell ref="A459:C459"/>
    <mergeCell ref="E459:J459"/>
    <mergeCell ref="A460:C460"/>
    <mergeCell ref="E460:J460"/>
    <mergeCell ref="A461:D461"/>
    <mergeCell ref="E461:J461"/>
    <mergeCell ref="A462:D462"/>
    <mergeCell ref="E462:J462"/>
    <mergeCell ref="A464:C464"/>
    <mergeCell ref="E464:J464"/>
    <mergeCell ref="A465:C465"/>
    <mergeCell ref="E465:J465"/>
    <mergeCell ref="A466:D466"/>
    <mergeCell ref="E466:J466"/>
    <mergeCell ref="E468:K468"/>
    <mergeCell ref="G469:K469"/>
    <mergeCell ref="D470:E470"/>
    <mergeCell ref="D471:E471"/>
    <mergeCell ref="D472:E472"/>
    <mergeCell ref="D473:E473"/>
    <mergeCell ref="A474:K474"/>
    <mergeCell ref="A476:C476"/>
    <mergeCell ref="D476:K476"/>
    <mergeCell ref="A477:C479"/>
    <mergeCell ref="F477:G477"/>
    <mergeCell ref="F478:G478"/>
    <mergeCell ref="E479:G479"/>
    <mergeCell ref="H479:K479"/>
    <mergeCell ref="A481:C481"/>
    <mergeCell ref="D481:K481"/>
    <mergeCell ref="A482:C482"/>
    <mergeCell ref="E482:J482"/>
    <mergeCell ref="A483:C483"/>
    <mergeCell ref="E483:J483"/>
    <mergeCell ref="A484:D484"/>
    <mergeCell ref="E484:J484"/>
    <mergeCell ref="A485:D485"/>
    <mergeCell ref="E485:J485"/>
    <mergeCell ref="A487:C487"/>
    <mergeCell ref="E487:J487"/>
    <mergeCell ref="A488:C488"/>
    <mergeCell ref="E488:J488"/>
    <mergeCell ref="A489:D489"/>
    <mergeCell ref="E489:J489"/>
    <mergeCell ref="A491:H491"/>
    <mergeCell ref="I491:K491"/>
    <mergeCell ref="A492:D492"/>
    <mergeCell ref="E492:G492"/>
    <mergeCell ref="I492:K492"/>
    <mergeCell ref="E493:H493"/>
    <mergeCell ref="I493:K493"/>
    <mergeCell ref="A495:D495"/>
    <mergeCell ref="A497:C497"/>
    <mergeCell ref="E497:J497"/>
    <mergeCell ref="A498:C498"/>
    <mergeCell ref="E498:J498"/>
    <mergeCell ref="A499:D499"/>
    <mergeCell ref="E499:J499"/>
    <mergeCell ref="A500:D500"/>
    <mergeCell ref="E500:J500"/>
    <mergeCell ref="A502:C502"/>
    <mergeCell ref="E502:J502"/>
    <mergeCell ref="A503:C503"/>
    <mergeCell ref="E503:J503"/>
    <mergeCell ref="A504:D504"/>
    <mergeCell ref="E504:J504"/>
    <mergeCell ref="G505:K511"/>
    <mergeCell ref="A513:C513"/>
    <mergeCell ref="D513:K513"/>
    <mergeCell ref="A514:C516"/>
    <mergeCell ref="F514:G514"/>
    <mergeCell ref="H514:I514"/>
    <mergeCell ref="F515:G515"/>
    <mergeCell ref="H515:I515"/>
    <mergeCell ref="D516:I516"/>
    <mergeCell ref="J516:K516"/>
    <mergeCell ref="A518:C518"/>
    <mergeCell ref="E518:J518"/>
    <mergeCell ref="A519:C519"/>
    <mergeCell ref="E519:J519"/>
    <mergeCell ref="A520:D520"/>
    <mergeCell ref="E520:J520"/>
    <mergeCell ref="A521:D521"/>
    <mergeCell ref="E521:J521"/>
    <mergeCell ref="A523:C523"/>
    <mergeCell ref="E523:J523"/>
    <mergeCell ref="A524:C524"/>
    <mergeCell ref="E524:J524"/>
    <mergeCell ref="A525:D525"/>
    <mergeCell ref="E525:J525"/>
    <mergeCell ref="E527:K527"/>
    <mergeCell ref="G528:K528"/>
    <mergeCell ref="D529:E529"/>
    <mergeCell ref="D530:E530"/>
    <mergeCell ref="D531:E531"/>
    <mergeCell ref="D532:E532"/>
    <mergeCell ref="B533:K533"/>
    <mergeCell ref="A535:C537"/>
    <mergeCell ref="H535:K537"/>
    <mergeCell ref="A539:C541"/>
    <mergeCell ref="H539:K541"/>
    <mergeCell ref="A548:C548"/>
    <mergeCell ref="E548:J548"/>
    <mergeCell ref="K548:K551"/>
    <mergeCell ref="A549:D549"/>
    <mergeCell ref="E549:J549"/>
    <mergeCell ref="A550:D550"/>
    <mergeCell ref="E550:J550"/>
    <mergeCell ref="A551:D551"/>
    <mergeCell ref="E551:J551"/>
    <mergeCell ref="A555:C555"/>
    <mergeCell ref="E555:J555"/>
    <mergeCell ref="K555:K558"/>
    <mergeCell ref="A556:D556"/>
    <mergeCell ref="E556:J556"/>
    <mergeCell ref="A557:D557"/>
    <mergeCell ref="E557:J557"/>
    <mergeCell ref="A558:D558"/>
    <mergeCell ref="E558:J558"/>
    <mergeCell ref="G559:K559"/>
    <mergeCell ref="A560:D562"/>
    <mergeCell ref="E560:J560"/>
    <mergeCell ref="K560:K562"/>
    <mergeCell ref="E561:J561"/>
    <mergeCell ref="E562:J562"/>
    <mergeCell ref="G563:K563"/>
    <mergeCell ref="D564:J564"/>
    <mergeCell ref="G565:K572"/>
    <mergeCell ref="A573:K573"/>
    <mergeCell ref="G574:K574"/>
    <mergeCell ref="A575:C575"/>
    <mergeCell ref="D575:K575"/>
    <mergeCell ref="A576:C578"/>
    <mergeCell ref="F576:G576"/>
    <mergeCell ref="F577:G577"/>
    <mergeCell ref="E578:G578"/>
    <mergeCell ref="H578:K578"/>
    <mergeCell ref="G579:K579"/>
    <mergeCell ref="A580:C580"/>
    <mergeCell ref="D580:K580"/>
    <mergeCell ref="A581:C582"/>
    <mergeCell ref="E581:J581"/>
    <mergeCell ref="E582:J582"/>
    <mergeCell ref="A583:D584"/>
    <mergeCell ref="E583:J583"/>
    <mergeCell ref="E584:J584"/>
    <mergeCell ref="G585:K585"/>
    <mergeCell ref="A586:D588"/>
    <mergeCell ref="E586:J586"/>
    <mergeCell ref="E587:J587"/>
    <mergeCell ref="E588:J588"/>
    <mergeCell ref="G589:K589"/>
    <mergeCell ref="A590:H590"/>
    <mergeCell ref="I590:K590"/>
    <mergeCell ref="A591:G591"/>
    <mergeCell ref="I591:K591"/>
    <mergeCell ref="A592:D592"/>
    <mergeCell ref="E592:H592"/>
    <mergeCell ref="I592:K592"/>
    <mergeCell ref="G593:K595"/>
    <mergeCell ref="A594:D594"/>
    <mergeCell ref="A596:C596"/>
    <mergeCell ref="E596:J596"/>
    <mergeCell ref="A597:C597"/>
    <mergeCell ref="E597:J597"/>
    <mergeCell ref="A598:D598"/>
    <mergeCell ref="E598:J598"/>
    <mergeCell ref="A599:D599"/>
    <mergeCell ref="E599:J599"/>
    <mergeCell ref="G600:K600"/>
    <mergeCell ref="A601:C601"/>
    <mergeCell ref="E601:J601"/>
    <mergeCell ref="A602:C602"/>
    <mergeCell ref="E602:J602"/>
    <mergeCell ref="A603:D603"/>
    <mergeCell ref="E603:J603"/>
    <mergeCell ref="G604:K606"/>
    <mergeCell ref="A606:D606"/>
    <mergeCell ref="A607:K607"/>
    <mergeCell ref="A608:K608"/>
    <mergeCell ref="G609:K609"/>
    <mergeCell ref="A610:C610"/>
    <mergeCell ref="D610:K610"/>
    <mergeCell ref="A611:C614"/>
    <mergeCell ref="F611:G611"/>
    <mergeCell ref="H611:I611"/>
    <mergeCell ref="F612:G612"/>
    <mergeCell ref="H612:I612"/>
    <mergeCell ref="F613:G613"/>
    <mergeCell ref="H613:I613"/>
    <mergeCell ref="D614:I614"/>
    <mergeCell ref="J614:K614"/>
    <mergeCell ref="A616:C616"/>
    <mergeCell ref="E616:J616"/>
    <mergeCell ref="A617:D619"/>
    <mergeCell ref="E617:J617"/>
    <mergeCell ref="E618:J618"/>
    <mergeCell ref="E619:J619"/>
    <mergeCell ref="A621:C621"/>
    <mergeCell ref="E621:J621"/>
    <mergeCell ref="A622:D623"/>
    <mergeCell ref="E622:J622"/>
    <mergeCell ref="E623:J623"/>
    <mergeCell ref="A625:D625"/>
    <mergeCell ref="E625:K625"/>
    <mergeCell ref="A627:C630"/>
    <mergeCell ref="D630:J630"/>
    <mergeCell ref="G631:K631"/>
    <mergeCell ref="G632:K632"/>
    <mergeCell ref="A633:C633"/>
    <mergeCell ref="D633:K633"/>
    <mergeCell ref="A634:D634"/>
    <mergeCell ref="E634:G634"/>
    <mergeCell ref="K634:K635"/>
    <mergeCell ref="A635:D635"/>
    <mergeCell ref="E635:G635"/>
    <mergeCell ref="G636:K636"/>
    <mergeCell ref="A637:C637"/>
    <mergeCell ref="D637:K637"/>
    <mergeCell ref="A638:C642"/>
    <mergeCell ref="E638:K638"/>
    <mergeCell ref="E639:J639"/>
    <mergeCell ref="E640:J640"/>
    <mergeCell ref="E641:J641"/>
    <mergeCell ref="E642:J642"/>
    <mergeCell ref="G643:K643"/>
    <mergeCell ref="A644:C645"/>
    <mergeCell ref="E644:J644"/>
    <mergeCell ref="E645:J645"/>
    <mergeCell ref="A646:D646"/>
    <mergeCell ref="E646:J646"/>
    <mergeCell ref="G647:K647"/>
    <mergeCell ref="A648:C649"/>
    <mergeCell ref="E648:J648"/>
    <mergeCell ref="E649:J649"/>
    <mergeCell ref="A650:D650"/>
    <mergeCell ref="E650:J650"/>
    <mergeCell ref="G651:K651"/>
    <mergeCell ref="A652:C652"/>
    <mergeCell ref="D652:K652"/>
    <mergeCell ref="A654:K654"/>
    <mergeCell ref="G655:K660"/>
    <mergeCell ref="A661:K661"/>
    <mergeCell ref="A663:C663"/>
    <mergeCell ref="D667:J667"/>
    <mergeCell ref="G668:K669"/>
    <mergeCell ref="D670:J670"/>
    <mergeCell ref="G671:K676"/>
    <mergeCell ref="A672:C674"/>
    <mergeCell ref="A677:K678"/>
    <mergeCell ref="B679:K679"/>
    <mergeCell ref="G680:K680"/>
    <mergeCell ref="A681:K681"/>
    <mergeCell ref="D682:J682"/>
    <mergeCell ref="A683:K683"/>
    <mergeCell ref="G684:K695"/>
    <mergeCell ref="A696:K696"/>
    <mergeCell ref="G697:K699"/>
    <mergeCell ref="A700:K700"/>
    <mergeCell ref="G701:K701"/>
    <mergeCell ref="A702:C702"/>
    <mergeCell ref="D702:K702"/>
    <mergeCell ref="A703:C705"/>
    <mergeCell ref="F703:G703"/>
    <mergeCell ref="J703:K704"/>
    <mergeCell ref="F704:G704"/>
    <mergeCell ref="E705:G705"/>
    <mergeCell ref="H705:K705"/>
    <mergeCell ref="G706:K706"/>
    <mergeCell ref="A707:C707"/>
    <mergeCell ref="D707:K707"/>
    <mergeCell ref="A708:D711"/>
    <mergeCell ref="E708:J708"/>
    <mergeCell ref="E709:J709"/>
    <mergeCell ref="E710:J710"/>
    <mergeCell ref="E711:J711"/>
    <mergeCell ref="G712:K712"/>
    <mergeCell ref="A713:D715"/>
    <mergeCell ref="E713:J713"/>
    <mergeCell ref="E714:J714"/>
    <mergeCell ref="E715:J715"/>
    <mergeCell ref="G716:K716"/>
    <mergeCell ref="A717:D719"/>
    <mergeCell ref="E717:H717"/>
    <mergeCell ref="I717:K717"/>
    <mergeCell ref="E718:G718"/>
    <mergeCell ref="I718:K718"/>
    <mergeCell ref="E719:H719"/>
    <mergeCell ref="I719:K719"/>
    <mergeCell ref="G720:K722"/>
    <mergeCell ref="A721:D721"/>
    <mergeCell ref="A723:D726"/>
    <mergeCell ref="E723:J723"/>
    <mergeCell ref="E724:J724"/>
    <mergeCell ref="E725:J725"/>
    <mergeCell ref="E726:J726"/>
    <mergeCell ref="G727:K727"/>
    <mergeCell ref="A728:D730"/>
    <mergeCell ref="E728:J728"/>
    <mergeCell ref="E729:J729"/>
    <mergeCell ref="E730:J730"/>
    <mergeCell ref="G731:K733"/>
    <mergeCell ref="A733:D733"/>
    <mergeCell ref="A734:K734"/>
    <mergeCell ref="A735:K735"/>
    <mergeCell ref="G736:K736"/>
    <mergeCell ref="A737:C737"/>
    <mergeCell ref="D737:K737"/>
    <mergeCell ref="A738:C740"/>
    <mergeCell ref="F738:G738"/>
    <mergeCell ref="H738:I738"/>
    <mergeCell ref="F739:G739"/>
    <mergeCell ref="H739:I739"/>
    <mergeCell ref="D740:I740"/>
    <mergeCell ref="J740:K740"/>
    <mergeCell ref="G741:K741"/>
    <mergeCell ref="A742:C742"/>
    <mergeCell ref="E742:J742"/>
    <mergeCell ref="A743:D745"/>
    <mergeCell ref="E743:J743"/>
    <mergeCell ref="E744:J744"/>
    <mergeCell ref="E745:J745"/>
    <mergeCell ref="G746:K746"/>
    <mergeCell ref="A747:C748"/>
    <mergeCell ref="E747:J747"/>
    <mergeCell ref="E748:J748"/>
    <mergeCell ref="A749:D749"/>
    <mergeCell ref="E749:J749"/>
    <mergeCell ref="G750:K751"/>
    <mergeCell ref="A752:C753"/>
    <mergeCell ref="H752:K752"/>
    <mergeCell ref="H753:K753"/>
    <mergeCell ref="G754:K754"/>
    <mergeCell ref="A755:D755"/>
    <mergeCell ref="E755:K755"/>
    <mergeCell ref="A756:D756"/>
    <mergeCell ref="E756:K756"/>
    <mergeCell ref="G757:K757"/>
    <mergeCell ref="A758:C758"/>
    <mergeCell ref="D758:K758"/>
    <mergeCell ref="A759:D759"/>
    <mergeCell ref="E759:G759"/>
    <mergeCell ref="E760:G760"/>
    <mergeCell ref="G761:K761"/>
    <mergeCell ref="A762:C762"/>
    <mergeCell ref="D762:K762"/>
    <mergeCell ref="A763:C767"/>
    <mergeCell ref="E763:K763"/>
    <mergeCell ref="E764:J764"/>
    <mergeCell ref="E765:J765"/>
    <mergeCell ref="E766:J766"/>
    <mergeCell ref="E767:J767"/>
    <mergeCell ref="G768:K768"/>
    <mergeCell ref="A769:C769"/>
    <mergeCell ref="E769:J769"/>
    <mergeCell ref="A770:C770"/>
    <mergeCell ref="E770:J770"/>
    <mergeCell ref="A771:D771"/>
    <mergeCell ref="E771:J771"/>
    <mergeCell ref="G772:K772"/>
    <mergeCell ref="A773:C773"/>
    <mergeCell ref="E773:J773"/>
    <mergeCell ref="A774:C774"/>
    <mergeCell ref="E774:J774"/>
    <mergeCell ref="A775:D775"/>
    <mergeCell ref="E775:J775"/>
    <mergeCell ref="G776:K776"/>
    <mergeCell ref="A777:C777"/>
    <mergeCell ref="D777:K777"/>
    <mergeCell ref="A779:K779"/>
    <mergeCell ref="A781:E781"/>
    <mergeCell ref="F781:K805"/>
    <mergeCell ref="G806:K810"/>
    <mergeCell ref="A811:K811"/>
    <mergeCell ref="G812:K822"/>
    <mergeCell ref="G824:K829"/>
    <mergeCell ref="A830:K830"/>
    <mergeCell ref="G831:K832"/>
    <mergeCell ref="A833:K833"/>
    <mergeCell ref="G834:K835"/>
    <mergeCell ref="B836:K836"/>
    <mergeCell ref="D837:J837"/>
    <mergeCell ref="G838:K844"/>
    <mergeCell ref="A845:K84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30" zoomScaleNormal="120" zoomScalePageLayoutView="130" workbookViewId="0">
      <selection pane="topLeft" activeCell="A20" activeCellId="0" sqref="A20"/>
    </sheetView>
  </sheetViews>
  <sheetFormatPr defaultColWidth="8.6796875" defaultRowHeight="14.25" zeroHeight="false" outlineLevelRow="0" outlineLevelCol="0"/>
  <cols>
    <col collapsed="false" customWidth="true" hidden="false" outlineLevel="0" max="3" min="3" style="14" width="35.56"/>
    <col collapsed="false" customWidth="true" hidden="false" outlineLevel="0" max="4" min="4" style="14" width="36.76"/>
    <col collapsed="false" customWidth="true" hidden="false" outlineLevel="0" max="16384" min="16384" style="14" width="11.53"/>
  </cols>
  <sheetData>
    <row r="1" s="1" customFormat="true" ht="86.4" hidden="false" customHeight="true" outlineLevel="0" collapsed="false">
      <c r="A1" s="100" t="s">
        <v>0</v>
      </c>
      <c r="B1" s="100"/>
      <c r="C1" s="100"/>
      <c r="D1" s="100"/>
      <c r="E1" s="100"/>
      <c r="F1" s="233"/>
      <c r="G1" s="233"/>
      <c r="H1" s="233"/>
      <c r="I1" s="233"/>
      <c r="J1" s="23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customFormat="false" ht="15" hidden="false" customHeight="false" outlineLevel="0" collapsed="false">
      <c r="A2" s="7" t="s">
        <v>970</v>
      </c>
      <c r="B2" s="7"/>
      <c r="C2" s="7"/>
      <c r="D2" s="7"/>
      <c r="E2" s="7"/>
      <c r="F2" s="234"/>
      <c r="G2" s="234"/>
      <c r="H2" s="234"/>
      <c r="I2" s="234"/>
      <c r="J2" s="234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customFormat="false" ht="14.25" hidden="false" customHeight="false" outlineLevel="0" collapsed="false">
      <c r="A3" s="235"/>
      <c r="B3" s="235"/>
      <c r="C3" s="235"/>
      <c r="D3" s="235"/>
    </row>
    <row r="4" customFormat="false" ht="14.25" hidden="false" customHeight="false" outlineLevel="0" collapsed="false">
      <c r="A4" s="235"/>
      <c r="B4" s="236" t="s">
        <v>971</v>
      </c>
      <c r="C4" s="236"/>
      <c r="D4" s="236"/>
    </row>
    <row r="5" customFormat="false" ht="14.25" hidden="false" customHeight="false" outlineLevel="0" collapsed="false">
      <c r="A5" s="235"/>
      <c r="B5" s="237" t="s">
        <v>972</v>
      </c>
      <c r="C5" s="237" t="s">
        <v>6</v>
      </c>
      <c r="D5" s="237" t="s">
        <v>973</v>
      </c>
    </row>
    <row r="6" customFormat="false" ht="14.25" hidden="false" customHeight="false" outlineLevel="0" collapsed="false">
      <c r="A6" s="235"/>
      <c r="B6" s="238" t="s">
        <v>974</v>
      </c>
      <c r="C6" s="239" t="s">
        <v>975</v>
      </c>
      <c r="D6" s="240" t="n">
        <v>0.0401</v>
      </c>
    </row>
    <row r="7" customFormat="false" ht="14.25" hidden="false" customHeight="false" outlineLevel="0" collapsed="false">
      <c r="A7" s="235"/>
      <c r="B7" s="238" t="s">
        <v>976</v>
      </c>
      <c r="C7" s="239" t="s">
        <v>977</v>
      </c>
      <c r="D7" s="240" t="n">
        <v>0.002</v>
      </c>
    </row>
    <row r="8" customFormat="false" ht="14.25" hidden="false" customHeight="false" outlineLevel="0" collapsed="false">
      <c r="A8" s="235"/>
      <c r="B8" s="238" t="s">
        <v>978</v>
      </c>
      <c r="C8" s="239" t="s">
        <v>979</v>
      </c>
      <c r="D8" s="240" t="n">
        <v>0.0056</v>
      </c>
    </row>
    <row r="9" customFormat="false" ht="14.25" hidden="false" customHeight="false" outlineLevel="0" collapsed="false">
      <c r="A9" s="235"/>
      <c r="B9" s="238" t="s">
        <v>980</v>
      </c>
      <c r="C9" s="239" t="s">
        <v>981</v>
      </c>
      <c r="D9" s="240" t="n">
        <v>0.002</v>
      </c>
    </row>
    <row r="10" customFormat="false" ht="14.25" hidden="false" customHeight="false" outlineLevel="0" collapsed="false">
      <c r="A10" s="235"/>
      <c r="B10" s="238" t="s">
        <v>982</v>
      </c>
      <c r="C10" s="239" t="s">
        <v>983</v>
      </c>
      <c r="D10" s="240" t="n">
        <v>0.0111</v>
      </c>
    </row>
    <row r="11" customFormat="false" ht="14.25" hidden="false" customHeight="false" outlineLevel="0" collapsed="false">
      <c r="A11" s="235"/>
      <c r="B11" s="238" t="s">
        <v>984</v>
      </c>
      <c r="C11" s="239" t="s">
        <v>985</v>
      </c>
      <c r="D11" s="240" t="n">
        <v>0.073</v>
      </c>
    </row>
    <row r="12" customFormat="false" ht="14.25" hidden="false" customHeight="false" outlineLevel="0" collapsed="false">
      <c r="A12" s="235"/>
      <c r="B12" s="238" t="s">
        <v>984</v>
      </c>
      <c r="C12" s="241" t="s">
        <v>986</v>
      </c>
      <c r="D12" s="242" t="n">
        <f aca="false">D13+D14+D15+D16</f>
        <v>0.0565</v>
      </c>
    </row>
    <row r="13" customFormat="false" ht="14.25" hidden="false" customHeight="false" outlineLevel="0" collapsed="false">
      <c r="A13" s="235"/>
      <c r="B13" s="243"/>
      <c r="C13" s="244" t="s">
        <v>987</v>
      </c>
      <c r="D13" s="245" t="n">
        <v>0.0065</v>
      </c>
    </row>
    <row r="14" customFormat="false" ht="14.25" hidden="false" customHeight="false" outlineLevel="0" collapsed="false">
      <c r="A14" s="235"/>
      <c r="B14" s="243"/>
      <c r="C14" s="246" t="s">
        <v>988</v>
      </c>
      <c r="D14" s="247" t="n">
        <v>0.03</v>
      </c>
    </row>
    <row r="15" customFormat="false" ht="14.25" hidden="false" customHeight="false" outlineLevel="0" collapsed="false">
      <c r="A15" s="235"/>
      <c r="B15" s="243"/>
      <c r="C15" s="246" t="s">
        <v>989</v>
      </c>
      <c r="D15" s="247" t="n">
        <v>0.02</v>
      </c>
    </row>
    <row r="16" customFormat="false" ht="14.25" hidden="false" customHeight="false" outlineLevel="0" collapsed="false">
      <c r="A16" s="235"/>
      <c r="B16" s="243"/>
      <c r="C16" s="248" t="s">
        <v>990</v>
      </c>
      <c r="D16" s="249"/>
      <c r="XFD16" s="250"/>
    </row>
    <row r="17" customFormat="false" ht="14.25" hidden="false" customHeight="false" outlineLevel="0" collapsed="false">
      <c r="A17" s="235"/>
      <c r="B17" s="251"/>
      <c r="C17" s="252" t="s">
        <v>991</v>
      </c>
      <c r="D17" s="253" t="n">
        <f aca="false">(((1+D6+D7+D8+D9)*(1+D10)*(1+D11))/(1-D12))-1</f>
        <v>0.207027389411765</v>
      </c>
    </row>
    <row r="18" customFormat="false" ht="14.25" hidden="false" customHeight="false" outlineLevel="0" collapsed="false">
      <c r="A18" s="235"/>
      <c r="B18" s="254"/>
      <c r="C18" s="254"/>
      <c r="D18" s="255"/>
    </row>
    <row r="19" s="250" customFormat="true" ht="23.6" hidden="false" customHeight="true" outlineLevel="0" collapsed="false">
      <c r="A19" s="256" t="s">
        <v>992</v>
      </c>
      <c r="B19" s="256"/>
      <c r="C19" s="256"/>
      <c r="D19" s="256"/>
      <c r="E19" s="256"/>
      <c r="XFD19" s="14"/>
    </row>
    <row r="20" customFormat="false" ht="130.4" hidden="false" customHeight="true" outlineLevel="0" collapsed="false">
      <c r="A20" s="257" t="s">
        <v>795</v>
      </c>
      <c r="B20" s="257"/>
      <c r="C20" s="257"/>
      <c r="D20" s="257"/>
      <c r="E20" s="257"/>
    </row>
    <row r="21" customFormat="false" ht="14.25" hidden="false" customHeight="false" outlineLevel="0" collapsed="false">
      <c r="A21" s="235"/>
    </row>
    <row r="22" customFormat="false" ht="14.25" hidden="false" customHeight="false" outlineLevel="0" collapsed="false">
      <c r="A22" s="235"/>
      <c r="B22" s="235"/>
      <c r="C22" s="235"/>
      <c r="D22" s="23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E1"/>
    <mergeCell ref="A2:E2"/>
    <mergeCell ref="B3:D3"/>
    <mergeCell ref="B4:D4"/>
    <mergeCell ref="A19:E19"/>
    <mergeCell ref="A20:E2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50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20" zoomScalePageLayoutView="130" workbookViewId="0">
      <selection pane="topLeft" activeCell="I15" activeCellId="0" sqref="I15"/>
    </sheetView>
  </sheetViews>
  <sheetFormatPr defaultColWidth="8.6796875" defaultRowHeight="14.25" zeroHeight="false" outlineLevelRow="0" outlineLevelCol="0"/>
  <cols>
    <col collapsed="false" customWidth="true" hidden="false" outlineLevel="0" max="1" min="1" style="14" width="6.41"/>
    <col collapsed="false" customWidth="true" hidden="false" outlineLevel="0" max="2" min="2" style="14" width="23.75"/>
    <col collapsed="false" customWidth="true" hidden="false" outlineLevel="0" max="3" min="3" style="14" width="4.48"/>
    <col collapsed="false" customWidth="true" hidden="false" outlineLevel="0" max="14" min="4" style="14" width="8.5"/>
    <col collapsed="false" customWidth="true" hidden="false" outlineLevel="0" max="15" min="15" style="14" width="9.36"/>
    <col collapsed="false" customWidth="true" hidden="false" outlineLevel="0" max="16" min="16" style="52" width="9.83"/>
    <col collapsed="false" customWidth="true" hidden="false" outlineLevel="0" max="17" min="17" style="52" width="10.89"/>
    <col collapsed="false" customWidth="true" hidden="false" outlineLevel="0" max="16384" min="16384" style="14" width="11.53"/>
  </cols>
  <sheetData>
    <row r="1" customFormat="false" ht="85.4" hidden="false" customHeight="true" outlineLevel="0" collapsed="false">
      <c r="A1" s="5" t="s">
        <v>993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false" ht="18.65" hidden="false" customHeight="true" outlineLevel="0" collapsed="false">
      <c r="A2" s="258" t="s">
        <v>994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customFormat="false" ht="14.25" hidden="false" customHeight="false" outlineLevel="0" collapsed="false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customFormat="false" ht="14.25" hidden="false" customHeight="false" outlineLevel="0" collapsed="false">
      <c r="A4" s="259" t="s">
        <v>3</v>
      </c>
      <c r="B4" s="259" t="s">
        <v>6</v>
      </c>
      <c r="C4" s="259" t="s">
        <v>39</v>
      </c>
      <c r="D4" s="259" t="s">
        <v>995</v>
      </c>
      <c r="E4" s="259" t="s">
        <v>996</v>
      </c>
      <c r="F4" s="259" t="s">
        <v>997</v>
      </c>
      <c r="G4" s="259" t="s">
        <v>998</v>
      </c>
      <c r="H4" s="259" t="s">
        <v>999</v>
      </c>
      <c r="I4" s="259" t="s">
        <v>1000</v>
      </c>
      <c r="J4" s="259" t="s">
        <v>1001</v>
      </c>
      <c r="K4" s="259" t="s">
        <v>1002</v>
      </c>
      <c r="L4" s="259" t="s">
        <v>1003</v>
      </c>
      <c r="M4" s="259" t="s">
        <v>1004</v>
      </c>
      <c r="N4" s="259" t="s">
        <v>1005</v>
      </c>
      <c r="O4" s="260" t="s">
        <v>851</v>
      </c>
    </row>
    <row r="5" customFormat="false" ht="14.25" hidden="false" customHeight="false" outlineLevel="0" collapsed="false">
      <c r="A5" s="261" t="n">
        <v>1</v>
      </c>
      <c r="B5" s="261" t="str">
        <f aca="false">ORÇAMENTO!B5:J5</f>
        <v>SERVIÇOS PRELIMINARES</v>
      </c>
      <c r="C5" s="262" t="s">
        <v>973</v>
      </c>
      <c r="D5" s="263" t="n">
        <f aca="false">D6/O6</f>
        <v>0.404600452067544</v>
      </c>
      <c r="E5" s="263" t="n">
        <f aca="false">E6/O6</f>
        <v>0.0595399547932456</v>
      </c>
      <c r="F5" s="263" t="n">
        <v>0.0595</v>
      </c>
      <c r="G5" s="263" t="n">
        <v>0.0595</v>
      </c>
      <c r="H5" s="263" t="n">
        <v>0.0595</v>
      </c>
      <c r="I5" s="263" t="n">
        <v>0.0595</v>
      </c>
      <c r="J5" s="263" t="n">
        <v>0.0595</v>
      </c>
      <c r="K5" s="263" t="n">
        <v>0.0595</v>
      </c>
      <c r="L5" s="263" t="n">
        <v>0.0595</v>
      </c>
      <c r="M5" s="263" t="n">
        <v>0.0595</v>
      </c>
      <c r="N5" s="263" t="n">
        <v>0.0595</v>
      </c>
      <c r="O5" s="264" t="n">
        <v>1</v>
      </c>
      <c r="P5" s="265"/>
    </row>
    <row r="6" customFormat="false" ht="14.25" hidden="false" customHeight="false" outlineLevel="0" collapsed="false">
      <c r="A6" s="261"/>
      <c r="B6" s="261"/>
      <c r="C6" s="262" t="s">
        <v>1006</v>
      </c>
      <c r="D6" s="266" t="n">
        <f aca="false">SUM(ORÇAMENTO!K6+ORÇAMENTO!K7+ORÇAMENTO!J8+ORÇAMENTO!J9)</f>
        <v>15975.75</v>
      </c>
      <c r="E6" s="266" t="n">
        <f aca="false">SUM(ORÇAMENTO!J8+ORÇAMENTO!J9)</f>
        <v>2350.95</v>
      </c>
      <c r="F6" s="266" t="n">
        <f aca="false">SUM(ORÇAMENTO!J8+ORÇAMENTO!J9)</f>
        <v>2350.95</v>
      </c>
      <c r="G6" s="266" t="n">
        <f aca="false">SUM(ORÇAMENTO!J8+ORÇAMENTO!J9)</f>
        <v>2350.95</v>
      </c>
      <c r="H6" s="266" t="n">
        <f aca="false">SUM(ORÇAMENTO!J8+ORÇAMENTO!J9)</f>
        <v>2350.95</v>
      </c>
      <c r="I6" s="266" t="n">
        <f aca="false">SUM(ORÇAMENTO!J8+ORÇAMENTO!J9)</f>
        <v>2350.95</v>
      </c>
      <c r="J6" s="266" t="n">
        <f aca="false">SUM(ORÇAMENTO!J8+ORÇAMENTO!J9)</f>
        <v>2350.95</v>
      </c>
      <c r="K6" s="266" t="n">
        <f aca="false">SUM(ORÇAMENTO!J8+ORÇAMENTO!J9)</f>
        <v>2350.95</v>
      </c>
      <c r="L6" s="266" t="n">
        <f aca="false">SUM(ORÇAMENTO!J8+ORÇAMENTO!J9)</f>
        <v>2350.95</v>
      </c>
      <c r="M6" s="266" t="n">
        <f aca="false">SUM(ORÇAMENTO!J8+ORÇAMENTO!J9)</f>
        <v>2350.95</v>
      </c>
      <c r="N6" s="266" t="n">
        <f aca="false">SUM(ORÇAMENTO!J8+ORÇAMENTO!J9)</f>
        <v>2350.95</v>
      </c>
      <c r="O6" s="267" t="n">
        <f aca="false">ORÇAMENTO!K10</f>
        <v>39485.25</v>
      </c>
      <c r="P6" s="268"/>
      <c r="Q6" s="268"/>
    </row>
    <row r="7" customFormat="false" ht="14.25" hidden="false" customHeight="false" outlineLevel="0" collapsed="false">
      <c r="A7" s="269" t="n">
        <v>2</v>
      </c>
      <c r="B7" s="269" t="str">
        <f aca="false">ORÇAMENTO!B12:J12</f>
        <v>PODA DAS ÁRVORES E DESTINAÇÃO FINAL </v>
      </c>
      <c r="C7" s="270" t="s">
        <v>973</v>
      </c>
      <c r="D7" s="271" t="n">
        <f aca="false">SUM(D8/O8)</f>
        <v>0.5</v>
      </c>
      <c r="E7" s="271" t="n">
        <f aca="false">SUM(D8/O8)</f>
        <v>0.5</v>
      </c>
      <c r="F7" s="271"/>
      <c r="G7" s="271"/>
      <c r="H7" s="271"/>
      <c r="I7" s="271"/>
      <c r="J7" s="271"/>
      <c r="K7" s="271"/>
      <c r="L7" s="271"/>
      <c r="M7" s="271"/>
      <c r="N7" s="271"/>
      <c r="O7" s="272" t="n">
        <f aca="false">SUM(D7:N7)</f>
        <v>1</v>
      </c>
      <c r="P7" s="265"/>
    </row>
    <row r="8" customFormat="false" ht="14.25" hidden="false" customHeight="false" outlineLevel="0" collapsed="false">
      <c r="A8" s="269"/>
      <c r="B8" s="269"/>
      <c r="C8" s="270" t="s">
        <v>1006</v>
      </c>
      <c r="D8" s="273" t="n">
        <f aca="false">SUM(ORÇAMENTO!K18/2)</f>
        <v>59439.17</v>
      </c>
      <c r="E8" s="273" t="n">
        <f aca="false">D8</f>
        <v>59439.17</v>
      </c>
      <c r="F8" s="273"/>
      <c r="G8" s="273"/>
      <c r="H8" s="273"/>
      <c r="I8" s="273"/>
      <c r="J8" s="273"/>
      <c r="K8" s="273"/>
      <c r="L8" s="273"/>
      <c r="M8" s="273"/>
      <c r="N8" s="273"/>
      <c r="O8" s="274" t="n">
        <f aca="false">ORÇAMENTO!K18</f>
        <v>118878.34</v>
      </c>
      <c r="P8" s="268"/>
      <c r="Q8" s="268"/>
    </row>
    <row r="9" customFormat="false" ht="14.25" hidden="false" customHeight="false" outlineLevel="0" collapsed="false">
      <c r="A9" s="261" t="n">
        <v>3</v>
      </c>
      <c r="B9" s="261" t="str">
        <f aca="false">ORÇAMENTO!B20:J20</f>
        <v>DEMOLIÇÃO E RECONSTRUÇÃO DAS CALÇADAS </v>
      </c>
      <c r="C9" s="262" t="s">
        <v>973</v>
      </c>
      <c r="D9" s="263" t="n">
        <v>0.3</v>
      </c>
      <c r="E9" s="263" t="n">
        <v>0.35</v>
      </c>
      <c r="F9" s="263" t="n">
        <v>0.35</v>
      </c>
      <c r="G9" s="263"/>
      <c r="H9" s="263"/>
      <c r="I9" s="263"/>
      <c r="J9" s="263"/>
      <c r="K9" s="263"/>
      <c r="L9" s="263"/>
      <c r="M9" s="263"/>
      <c r="N9" s="263"/>
      <c r="O9" s="264" t="n">
        <f aca="false">SUM(D9:F9)</f>
        <v>1</v>
      </c>
      <c r="P9" s="265"/>
    </row>
    <row r="10" customFormat="false" ht="14.25" hidden="false" customHeight="false" outlineLevel="0" collapsed="false">
      <c r="A10" s="261"/>
      <c r="B10" s="261"/>
      <c r="C10" s="262" t="s">
        <v>1006</v>
      </c>
      <c r="D10" s="266" t="n">
        <f aca="false">D9*O10</f>
        <v>49047.72048</v>
      </c>
      <c r="E10" s="266" t="n">
        <f aca="false">E9*O10</f>
        <v>57222.34056</v>
      </c>
      <c r="F10" s="266" t="n">
        <f aca="false">F9*O10</f>
        <v>57222.34056</v>
      </c>
      <c r="G10" s="266"/>
      <c r="H10" s="266"/>
      <c r="I10" s="266"/>
      <c r="J10" s="266"/>
      <c r="K10" s="266"/>
      <c r="L10" s="266"/>
      <c r="M10" s="266"/>
      <c r="N10" s="266"/>
      <c r="O10" s="267" t="n">
        <f aca="false">ORÇAMENTO!K28</f>
        <v>163492.4016</v>
      </c>
      <c r="P10" s="268"/>
      <c r="Q10" s="268"/>
    </row>
    <row r="11" customFormat="false" ht="14.25" hidden="false" customHeight="false" outlineLevel="0" collapsed="false">
      <c r="A11" s="269" t="n">
        <v>4</v>
      </c>
      <c r="B11" s="269" t="str">
        <f aca="false">ORÇAMENTO!B30:J30</f>
        <v>RECAPEAMENTO ASFÁLTICO GERAL DO PARQUE </v>
      </c>
      <c r="C11" s="270" t="s">
        <v>973</v>
      </c>
      <c r="D11" s="271"/>
      <c r="E11" s="271"/>
      <c r="F11" s="271"/>
      <c r="G11" s="271"/>
      <c r="H11" s="271"/>
      <c r="I11" s="271"/>
      <c r="J11" s="271"/>
      <c r="K11" s="271" t="n">
        <f aca="false">SUM(K12/O12)</f>
        <v>0.333333333333333</v>
      </c>
      <c r="L11" s="271" t="n">
        <f aca="false">SUM(L12/O12)</f>
        <v>0.333333333333333</v>
      </c>
      <c r="M11" s="271" t="n">
        <f aca="false">M12/O12</f>
        <v>0.333333333333333</v>
      </c>
      <c r="N11" s="271"/>
      <c r="O11" s="272" t="n">
        <f aca="false">SUM(K11+L11+M11)</f>
        <v>1</v>
      </c>
      <c r="P11" s="265"/>
    </row>
    <row r="12" customFormat="false" ht="14.25" hidden="false" customHeight="false" outlineLevel="0" collapsed="false">
      <c r="A12" s="269"/>
      <c r="B12" s="269"/>
      <c r="C12" s="270" t="s">
        <v>1006</v>
      </c>
      <c r="D12" s="273"/>
      <c r="E12" s="273"/>
      <c r="F12" s="273"/>
      <c r="G12" s="273"/>
      <c r="H12" s="273"/>
      <c r="I12" s="273"/>
      <c r="J12" s="273"/>
      <c r="K12" s="273" t="n">
        <f aca="false">SUM(ORÇAMENTO!K36/3)</f>
        <v>43743.4784</v>
      </c>
      <c r="L12" s="273" t="n">
        <f aca="false">SUM(ORÇAMENTO!K36/3)</f>
        <v>43743.4784</v>
      </c>
      <c r="M12" s="273" t="n">
        <f aca="false">SUM(ORÇAMENTO!K36/3)</f>
        <v>43743.4784</v>
      </c>
      <c r="N12" s="273"/>
      <c r="O12" s="274" t="n">
        <f aca="false">ORÇAMENTO!K36</f>
        <v>131230.4352</v>
      </c>
      <c r="P12" s="268"/>
      <c r="Q12" s="268"/>
    </row>
    <row r="13" customFormat="false" ht="14.25" hidden="false" customHeight="false" outlineLevel="0" collapsed="false">
      <c r="A13" s="261" t="n">
        <v>5</v>
      </c>
      <c r="B13" s="261" t="str">
        <f aca="false">ORÇAMENTO!B38:J38</f>
        <v>REGULARIZAÇÃO TERRENO - (VALA PRESENTE NO GRAMADO G1 DA RUA 14)</v>
      </c>
      <c r="C13" s="262" t="s">
        <v>973</v>
      </c>
      <c r="D13" s="263"/>
      <c r="E13" s="263"/>
      <c r="F13" s="263"/>
      <c r="G13" s="263"/>
      <c r="H13" s="263" t="n">
        <f aca="false">H14/O14</f>
        <v>1</v>
      </c>
      <c r="I13" s="263"/>
      <c r="J13" s="263"/>
      <c r="K13" s="263"/>
      <c r="L13" s="263"/>
      <c r="M13" s="263"/>
      <c r="N13" s="263"/>
      <c r="O13" s="264" t="n">
        <f aca="false">H13</f>
        <v>1</v>
      </c>
      <c r="P13" s="265"/>
    </row>
    <row r="14" customFormat="false" ht="14.25" hidden="false" customHeight="false" outlineLevel="0" collapsed="false">
      <c r="A14" s="261"/>
      <c r="B14" s="261"/>
      <c r="C14" s="262" t="s">
        <v>1006</v>
      </c>
      <c r="D14" s="266"/>
      <c r="E14" s="266"/>
      <c r="F14" s="266"/>
      <c r="G14" s="266"/>
      <c r="H14" s="266" t="n">
        <f aca="false">ORÇAMENTO!K41</f>
        <v>7308.5774</v>
      </c>
      <c r="I14" s="266"/>
      <c r="J14" s="266"/>
      <c r="K14" s="266"/>
      <c r="L14" s="266"/>
      <c r="M14" s="266"/>
      <c r="N14" s="266"/>
      <c r="O14" s="267" t="n">
        <f aca="false">ORÇAMENTO!K41</f>
        <v>7308.5774</v>
      </c>
      <c r="P14" s="268"/>
      <c r="Q14" s="268"/>
    </row>
    <row r="15" customFormat="false" ht="14.25" hidden="false" customHeight="false" outlineLevel="0" collapsed="false">
      <c r="A15" s="269" t="n">
        <v>6</v>
      </c>
      <c r="B15" s="269" t="str">
        <f aca="false">ORÇAMENTO!B43:J43</f>
        <v>READEQUAÇÃO E AMPLIAÇÃO DAS GUARITAS</v>
      </c>
      <c r="C15" s="270" t="s">
        <v>973</v>
      </c>
      <c r="D15" s="271"/>
      <c r="E15" s="271"/>
      <c r="F15" s="271" t="n">
        <f aca="false">F16/O16</f>
        <v>0.25</v>
      </c>
      <c r="G15" s="271" t="n">
        <f aca="false">G16/O16</f>
        <v>0.25</v>
      </c>
      <c r="H15" s="271" t="n">
        <f aca="false">H16/O16</f>
        <v>0.25</v>
      </c>
      <c r="I15" s="271" t="n">
        <f aca="false">I16/O16</f>
        <v>0.25</v>
      </c>
      <c r="J15" s="271"/>
      <c r="K15" s="271"/>
      <c r="L15" s="271"/>
      <c r="M15" s="271"/>
      <c r="N15" s="271"/>
      <c r="O15" s="272" t="n">
        <f aca="false">F15+G15+H15+I15</f>
        <v>1</v>
      </c>
      <c r="P15" s="265"/>
    </row>
    <row r="16" customFormat="false" ht="14.25" hidden="false" customHeight="false" outlineLevel="0" collapsed="false">
      <c r="A16" s="269"/>
      <c r="B16" s="269"/>
      <c r="C16" s="270" t="s">
        <v>1006</v>
      </c>
      <c r="D16" s="273"/>
      <c r="E16" s="273"/>
      <c r="F16" s="273" t="n">
        <f aca="false">ORÇAMENTO!K114/4</f>
        <v>25458.25130965</v>
      </c>
      <c r="G16" s="273" t="n">
        <f aca="false">F16</f>
        <v>25458.25130965</v>
      </c>
      <c r="H16" s="273" t="n">
        <f aca="false">G16</f>
        <v>25458.25130965</v>
      </c>
      <c r="I16" s="273" t="n">
        <f aca="false">H16</f>
        <v>25458.25130965</v>
      </c>
      <c r="J16" s="273"/>
      <c r="K16" s="273"/>
      <c r="L16" s="273"/>
      <c r="M16" s="273"/>
      <c r="N16" s="273"/>
      <c r="O16" s="274" t="n">
        <f aca="false">ORÇAMENTO!K114</f>
        <v>101833.0052386</v>
      </c>
      <c r="P16" s="268"/>
      <c r="Q16" s="268"/>
    </row>
    <row r="17" customFormat="false" ht="14.25" hidden="false" customHeight="false" outlineLevel="0" collapsed="false">
      <c r="A17" s="261" t="n">
        <v>7</v>
      </c>
      <c r="B17" s="261" t="str">
        <f aca="false">ORÇAMENTO!B116:K116</f>
        <v>DEMOLIÇÃO E CONSTRUÇÃO DE RAMPA DE ACESSIBILIDADE - GUARITA RUA 10</v>
      </c>
      <c r="C17" s="262" t="s">
        <v>973</v>
      </c>
      <c r="D17" s="263"/>
      <c r="E17" s="263"/>
      <c r="F17" s="263"/>
      <c r="G17" s="263"/>
      <c r="H17" s="263" t="n">
        <f aca="false">H18/O18</f>
        <v>1</v>
      </c>
      <c r="I17" s="263"/>
      <c r="J17" s="263"/>
      <c r="K17" s="263"/>
      <c r="L17" s="263"/>
      <c r="M17" s="263"/>
      <c r="N17" s="263"/>
      <c r="O17" s="264" t="n">
        <f aca="false">H17</f>
        <v>1</v>
      </c>
      <c r="P17" s="265"/>
    </row>
    <row r="18" customFormat="false" ht="14.25" hidden="false" customHeight="false" outlineLevel="0" collapsed="false">
      <c r="A18" s="261"/>
      <c r="B18" s="261"/>
      <c r="C18" s="262" t="s">
        <v>1006</v>
      </c>
      <c r="D18" s="266"/>
      <c r="E18" s="266"/>
      <c r="F18" s="266"/>
      <c r="G18" s="266"/>
      <c r="H18" s="266" t="n">
        <f aca="false">ORÇAMENTO!K125</f>
        <v>4258.14355</v>
      </c>
      <c r="I18" s="266"/>
      <c r="J18" s="266"/>
      <c r="K18" s="266"/>
      <c r="L18" s="266"/>
      <c r="M18" s="266"/>
      <c r="N18" s="266"/>
      <c r="O18" s="267" t="n">
        <f aca="false">ORÇAMENTO!K125</f>
        <v>4258.14355</v>
      </c>
      <c r="P18" s="268"/>
      <c r="Q18" s="268"/>
    </row>
    <row r="19" customFormat="false" ht="14.25" hidden="false" customHeight="false" outlineLevel="0" collapsed="false">
      <c r="A19" s="269" t="n">
        <v>8</v>
      </c>
      <c r="B19" s="269" t="str">
        <f aca="false">ORÇAMENTO!B127:K127</f>
        <v>CONSTRUÇÃO DE RAMPAS DE ACESSIBILIDADE - ÁREA DOS BRINQUEDOS </v>
      </c>
      <c r="C19" s="270" t="s">
        <v>973</v>
      </c>
      <c r="D19" s="271"/>
      <c r="E19" s="271"/>
      <c r="F19" s="271"/>
      <c r="G19" s="271"/>
      <c r="H19" s="271" t="n">
        <f aca="false">H20/O20</f>
        <v>1</v>
      </c>
      <c r="I19" s="271"/>
      <c r="J19" s="271"/>
      <c r="K19" s="271"/>
      <c r="L19" s="271"/>
      <c r="M19" s="271"/>
      <c r="N19" s="271"/>
      <c r="O19" s="272" t="n">
        <f aca="false">H19</f>
        <v>1</v>
      </c>
      <c r="P19" s="265"/>
    </row>
    <row r="20" customFormat="false" ht="14.25" hidden="false" customHeight="false" outlineLevel="0" collapsed="false">
      <c r="A20" s="269"/>
      <c r="B20" s="269"/>
      <c r="C20" s="270" t="s">
        <v>1006</v>
      </c>
      <c r="D20" s="273"/>
      <c r="E20" s="273"/>
      <c r="F20" s="273"/>
      <c r="G20" s="273"/>
      <c r="H20" s="273" t="n">
        <f aca="false">ORÇAMENTO!K136</f>
        <v>70136.125</v>
      </c>
      <c r="I20" s="273"/>
      <c r="J20" s="273"/>
      <c r="K20" s="273"/>
      <c r="L20" s="273"/>
      <c r="M20" s="273"/>
      <c r="N20" s="273"/>
      <c r="O20" s="274" t="n">
        <f aca="false">ORÇAMENTO!K136</f>
        <v>70136.125</v>
      </c>
      <c r="P20" s="268"/>
      <c r="Q20" s="268"/>
    </row>
    <row r="21" customFormat="false" ht="14.25" hidden="false" customHeight="false" outlineLevel="0" collapsed="false">
      <c r="A21" s="261" t="n">
        <v>9</v>
      </c>
      <c r="B21" s="261" t="str">
        <f aca="false">ORÇAMENTO!B138:K138</f>
        <v>DEMOLIÇÃO E CONSTRUÇÃO DA BASE DOS EQUIPAMENTOS DE ACADEMIA</v>
      </c>
      <c r="C21" s="262" t="s">
        <v>973</v>
      </c>
      <c r="D21" s="263"/>
      <c r="E21" s="263"/>
      <c r="F21" s="263"/>
      <c r="G21" s="263"/>
      <c r="H21" s="263"/>
      <c r="I21" s="263"/>
      <c r="J21" s="263" t="n">
        <f aca="false">J22/O22</f>
        <v>1</v>
      </c>
      <c r="K21" s="263"/>
      <c r="L21" s="263"/>
      <c r="M21" s="263"/>
      <c r="N21" s="263"/>
      <c r="O21" s="264" t="n">
        <f aca="false">J21</f>
        <v>1</v>
      </c>
      <c r="P21" s="265"/>
    </row>
    <row r="22" customFormat="false" ht="14.25" hidden="false" customHeight="false" outlineLevel="0" collapsed="false">
      <c r="A22" s="261"/>
      <c r="B22" s="261"/>
      <c r="C22" s="262" t="s">
        <v>1006</v>
      </c>
      <c r="D22" s="266"/>
      <c r="E22" s="266"/>
      <c r="F22" s="266"/>
      <c r="G22" s="266"/>
      <c r="H22" s="266"/>
      <c r="I22" s="266"/>
      <c r="J22" s="266" t="n">
        <f aca="false">ORÇAMENTO!K147</f>
        <v>11059.524</v>
      </c>
      <c r="K22" s="266"/>
      <c r="L22" s="266"/>
      <c r="M22" s="266"/>
      <c r="N22" s="266"/>
      <c r="O22" s="267" t="n">
        <f aca="false">ORÇAMENTO!K147</f>
        <v>11059.524</v>
      </c>
      <c r="P22" s="268"/>
      <c r="Q22" s="268"/>
    </row>
    <row r="23" customFormat="false" ht="14.25" hidden="false" customHeight="false" outlineLevel="0" collapsed="false">
      <c r="A23" s="269" t="n">
        <v>10</v>
      </c>
      <c r="B23" s="269" t="str">
        <f aca="false">ORÇAMENTO!B149:K149</f>
        <v>EQUIPAMENTOS DE ACADEMIA</v>
      </c>
      <c r="C23" s="270" t="s">
        <v>973</v>
      </c>
      <c r="D23" s="271"/>
      <c r="E23" s="271"/>
      <c r="F23" s="271"/>
      <c r="G23" s="271"/>
      <c r="H23" s="271"/>
      <c r="I23" s="271" t="n">
        <f aca="false">I24/O24</f>
        <v>0.5</v>
      </c>
      <c r="J23" s="271" t="n">
        <f aca="false">J24/O24</f>
        <v>0.5</v>
      </c>
      <c r="K23" s="271"/>
      <c r="L23" s="271"/>
      <c r="M23" s="271"/>
      <c r="N23" s="271"/>
      <c r="O23" s="272" t="n">
        <f aca="false">SUM(I23:J23)</f>
        <v>1</v>
      </c>
      <c r="P23" s="265"/>
    </row>
    <row r="24" customFormat="false" ht="14.25" hidden="false" customHeight="false" outlineLevel="0" collapsed="false">
      <c r="A24" s="269"/>
      <c r="B24" s="269"/>
      <c r="C24" s="270" t="s">
        <v>1006</v>
      </c>
      <c r="D24" s="273"/>
      <c r="E24" s="273"/>
      <c r="F24" s="273"/>
      <c r="G24" s="273"/>
      <c r="H24" s="273"/>
      <c r="I24" s="273" t="n">
        <f aca="false">(ORÇAMENTO!K157/2)</f>
        <v>17896.86</v>
      </c>
      <c r="J24" s="273" t="n">
        <f aca="false">I24</f>
        <v>17896.86</v>
      </c>
      <c r="K24" s="273"/>
      <c r="L24" s="273"/>
      <c r="M24" s="273"/>
      <c r="N24" s="273"/>
      <c r="O24" s="274" t="n">
        <f aca="false">ORÇAMENTO!K157</f>
        <v>35793.72</v>
      </c>
      <c r="P24" s="268"/>
      <c r="Q24" s="268"/>
    </row>
    <row r="25" customFormat="false" ht="14.25" hidden="false" customHeight="false" outlineLevel="0" collapsed="false">
      <c r="A25" s="261" t="n">
        <v>11</v>
      </c>
      <c r="B25" s="261" t="str">
        <f aca="false">ORÇAMENTO!B159:J159</f>
        <v>CONSTRUÇÃO DOS BANHEIROS - FEMININO E MASCULINO</v>
      </c>
      <c r="C25" s="262" t="s">
        <v>973</v>
      </c>
      <c r="D25" s="263"/>
      <c r="E25" s="263"/>
      <c r="F25" s="263"/>
      <c r="G25" s="263" t="n">
        <f aca="false">SUM(G26/O26)</f>
        <v>0.2</v>
      </c>
      <c r="H25" s="263" t="n">
        <v>0.1</v>
      </c>
      <c r="I25" s="263" t="n">
        <v>0.1</v>
      </c>
      <c r="J25" s="263" t="n">
        <v>0.15</v>
      </c>
      <c r="K25" s="263" t="n">
        <v>0.1</v>
      </c>
      <c r="L25" s="263" t="n">
        <v>0.2</v>
      </c>
      <c r="M25" s="263" t="n">
        <v>0.15</v>
      </c>
      <c r="N25" s="263"/>
      <c r="O25" s="264" t="n">
        <f aca="false">SUM(G25:M25)</f>
        <v>1</v>
      </c>
      <c r="P25" s="265"/>
    </row>
    <row r="26" customFormat="false" ht="14.25" hidden="false" customHeight="false" outlineLevel="0" collapsed="false">
      <c r="A26" s="261"/>
      <c r="B26" s="261"/>
      <c r="C26" s="262" t="s">
        <v>1006</v>
      </c>
      <c r="D26" s="266"/>
      <c r="E26" s="266"/>
      <c r="F26" s="266"/>
      <c r="G26" s="266" t="n">
        <f aca="false">SUM(ORÇAMENTO!K234/5)</f>
        <v>51206.60844296</v>
      </c>
      <c r="H26" s="266" t="n">
        <f aca="false">SUM(O26*H25)</f>
        <v>25603.30422148</v>
      </c>
      <c r="I26" s="266" t="n">
        <f aca="false">I25*O26</f>
        <v>25603.30422148</v>
      </c>
      <c r="J26" s="266" t="n">
        <f aca="false">J25*O26</f>
        <v>38404.95633222</v>
      </c>
      <c r="K26" s="266" t="n">
        <f aca="false">K25*O26</f>
        <v>25603.30422148</v>
      </c>
      <c r="L26" s="266" t="n">
        <f aca="false">L25*O26</f>
        <v>51206.60844296</v>
      </c>
      <c r="M26" s="266" t="n">
        <f aca="false">M25*O26</f>
        <v>38404.95633222</v>
      </c>
      <c r="N26" s="266"/>
      <c r="O26" s="267" t="n">
        <f aca="false">ORÇAMENTO!K234</f>
        <v>256033.0422148</v>
      </c>
      <c r="P26" s="268"/>
      <c r="Q26" s="268"/>
    </row>
    <row r="27" customFormat="false" ht="14.25" hidden="false" customHeight="false" outlineLevel="0" collapsed="false">
      <c r="A27" s="269" t="n">
        <v>12</v>
      </c>
      <c r="B27" s="269" t="str">
        <f aca="false">ORÇAMENTO!B236:K236</f>
        <v>CONSTRUÇÃO DO PISO EM FRENTE AOS BANHEIROS </v>
      </c>
      <c r="C27" s="270" t="s">
        <v>973</v>
      </c>
      <c r="D27" s="271"/>
      <c r="E27" s="271"/>
      <c r="F27" s="271"/>
      <c r="G27" s="271"/>
      <c r="H27" s="271"/>
      <c r="I27" s="271" t="n">
        <f aca="false">SUM(I28/O28)</f>
        <v>1</v>
      </c>
      <c r="J27" s="271"/>
      <c r="K27" s="271"/>
      <c r="L27" s="271"/>
      <c r="M27" s="271"/>
      <c r="N27" s="271"/>
      <c r="O27" s="272" t="n">
        <f aca="false">I27</f>
        <v>1</v>
      </c>
      <c r="P27" s="265"/>
    </row>
    <row r="28" customFormat="false" ht="14.25" hidden="false" customHeight="false" outlineLevel="0" collapsed="false">
      <c r="A28" s="269"/>
      <c r="B28" s="269"/>
      <c r="C28" s="270" t="s">
        <v>1006</v>
      </c>
      <c r="D28" s="273"/>
      <c r="E28" s="273"/>
      <c r="F28" s="273"/>
      <c r="G28" s="273"/>
      <c r="H28" s="273"/>
      <c r="I28" s="273" t="n">
        <f aca="false">SUM(ORÇAMENTO!K248)</f>
        <v>25448.76</v>
      </c>
      <c r="J28" s="273"/>
      <c r="K28" s="273"/>
      <c r="L28" s="273"/>
      <c r="M28" s="273"/>
      <c r="N28" s="273"/>
      <c r="O28" s="274" t="n">
        <f aca="false">ORÇAMENTO!K248</f>
        <v>25448.76</v>
      </c>
      <c r="P28" s="268"/>
      <c r="Q28" s="268"/>
    </row>
    <row r="29" customFormat="false" ht="14.25" hidden="false" customHeight="false" outlineLevel="0" collapsed="false">
      <c r="A29" s="261" t="n">
        <v>13</v>
      </c>
      <c r="B29" s="261" t="str">
        <f aca="false">ORÇAMENTO!B250:K250</f>
        <v>PARQUINHO INFANTIL </v>
      </c>
      <c r="C29" s="262" t="s">
        <v>973</v>
      </c>
      <c r="D29" s="263"/>
      <c r="E29" s="263"/>
      <c r="F29" s="263"/>
      <c r="G29" s="263"/>
      <c r="H29" s="263"/>
      <c r="I29" s="263"/>
      <c r="J29" s="263"/>
      <c r="K29" s="263"/>
      <c r="L29" s="263"/>
      <c r="M29" s="263" t="n">
        <v>0.5</v>
      </c>
      <c r="N29" s="263" t="n">
        <v>0.5</v>
      </c>
      <c r="O29" s="264" t="n">
        <f aca="false">M29+N29</f>
        <v>1</v>
      </c>
      <c r="P29" s="265"/>
    </row>
    <row r="30" customFormat="false" ht="14.25" hidden="false" customHeight="false" outlineLevel="0" collapsed="false">
      <c r="A30" s="261"/>
      <c r="B30" s="261"/>
      <c r="C30" s="262" t="s">
        <v>1006</v>
      </c>
      <c r="D30" s="266"/>
      <c r="E30" s="266"/>
      <c r="F30" s="266"/>
      <c r="G30" s="266"/>
      <c r="H30" s="266"/>
      <c r="I30" s="266"/>
      <c r="J30" s="266"/>
      <c r="K30" s="266"/>
      <c r="L30" s="266"/>
      <c r="M30" s="266" t="n">
        <f aca="false">M29*O30</f>
        <v>22280.44</v>
      </c>
      <c r="N30" s="266" t="n">
        <f aca="false">N29*O30</f>
        <v>22280.44</v>
      </c>
      <c r="O30" s="267" t="n">
        <f aca="false">ORÇAMENTO!K255</f>
        <v>44560.88</v>
      </c>
      <c r="P30" s="268"/>
      <c r="Q30" s="268"/>
    </row>
    <row r="31" customFormat="false" ht="14.25" hidden="false" customHeight="false" outlineLevel="0" collapsed="false">
      <c r="A31" s="269" t="n">
        <v>14</v>
      </c>
      <c r="B31" s="269" t="str">
        <f aca="false">ORÇAMENTO!B257:J257</f>
        <v>ELEMENTO DE MADEIRA </v>
      </c>
      <c r="C31" s="270" t="s">
        <v>973</v>
      </c>
      <c r="D31" s="271"/>
      <c r="E31" s="271"/>
      <c r="F31" s="271"/>
      <c r="G31" s="271"/>
      <c r="H31" s="271"/>
      <c r="I31" s="271"/>
      <c r="J31" s="271"/>
      <c r="K31" s="271" t="n">
        <v>0.05</v>
      </c>
      <c r="L31" s="271" t="n">
        <v>0.05</v>
      </c>
      <c r="M31" s="271" t="n">
        <v>0.05</v>
      </c>
      <c r="N31" s="271" t="n">
        <v>0.85</v>
      </c>
      <c r="O31" s="272" t="n">
        <f aca="false">SUM(K31:N31)</f>
        <v>1</v>
      </c>
      <c r="P31" s="265"/>
    </row>
    <row r="32" customFormat="false" ht="14.25" hidden="false" customHeight="false" outlineLevel="0" collapsed="false">
      <c r="A32" s="269"/>
      <c r="B32" s="269"/>
      <c r="C32" s="270" t="s">
        <v>1006</v>
      </c>
      <c r="D32" s="273"/>
      <c r="E32" s="273"/>
      <c r="F32" s="273"/>
      <c r="G32" s="273"/>
      <c r="H32" s="273"/>
      <c r="I32" s="273"/>
      <c r="J32" s="273"/>
      <c r="K32" s="273" t="n">
        <f aca="false">K31*O32</f>
        <v>6398.2848316</v>
      </c>
      <c r="L32" s="273" t="n">
        <f aca="false">L31*O32</f>
        <v>6398.2848316</v>
      </c>
      <c r="M32" s="273" t="n">
        <f aca="false">M31*O32</f>
        <v>6398.2848316</v>
      </c>
      <c r="N32" s="273" t="n">
        <f aca="false">N31*O32</f>
        <v>108770.8421372</v>
      </c>
      <c r="O32" s="274" t="n">
        <f aca="false">ORÇAMENTO!K298</f>
        <v>127965.696632</v>
      </c>
      <c r="P32" s="268"/>
      <c r="Q32" s="268"/>
    </row>
    <row r="33" customFormat="false" ht="14.25" hidden="false" customHeight="false" outlineLevel="0" collapsed="false">
      <c r="A33" s="261" t="n">
        <v>15</v>
      </c>
      <c r="B33" s="261" t="str">
        <f aca="false">ORÇAMENTO!B300</f>
        <v>ÁREA DE DESCANSO</v>
      </c>
      <c r="C33" s="262" t="s">
        <v>973</v>
      </c>
      <c r="D33" s="263"/>
      <c r="E33" s="263"/>
      <c r="F33" s="263"/>
      <c r="G33" s="263"/>
      <c r="H33" s="263"/>
      <c r="I33" s="263"/>
      <c r="J33" s="263"/>
      <c r="K33" s="263" t="n">
        <v>0.3</v>
      </c>
      <c r="L33" s="263" t="n">
        <v>0.2</v>
      </c>
      <c r="M33" s="263" t="n">
        <v>0.2</v>
      </c>
      <c r="N33" s="263" t="n">
        <v>0.3</v>
      </c>
      <c r="O33" s="264" t="n">
        <f aca="false">SUM(K33:N33)</f>
        <v>1</v>
      </c>
      <c r="P33" s="265"/>
    </row>
    <row r="34" customFormat="false" ht="14.25" hidden="false" customHeight="false" outlineLevel="0" collapsed="false">
      <c r="A34" s="261"/>
      <c r="B34" s="261"/>
      <c r="C34" s="262" t="s">
        <v>1006</v>
      </c>
      <c r="D34" s="266"/>
      <c r="E34" s="266"/>
      <c r="F34" s="266"/>
      <c r="G34" s="266"/>
      <c r="H34" s="266"/>
      <c r="I34" s="266"/>
      <c r="J34" s="266"/>
      <c r="K34" s="266" t="n">
        <f aca="false">K33*O34</f>
        <v>30984.2725695</v>
      </c>
      <c r="L34" s="266" t="n">
        <f aca="false">L33*O34</f>
        <v>20656.181713</v>
      </c>
      <c r="M34" s="266" t="n">
        <f aca="false">M33*O34</f>
        <v>20656.181713</v>
      </c>
      <c r="N34" s="266" t="n">
        <f aca="false">N33*O34</f>
        <v>30984.2725695</v>
      </c>
      <c r="O34" s="267" t="n">
        <f aca="false">ORÇAMENTO!K314</f>
        <v>103280.908565</v>
      </c>
      <c r="P34" s="268"/>
      <c r="Q34" s="268"/>
    </row>
    <row r="35" customFormat="false" ht="14.25" hidden="false" customHeight="false" outlineLevel="0" collapsed="false">
      <c r="A35" s="269" t="n">
        <v>16</v>
      </c>
      <c r="B35" s="269" t="str">
        <f aca="false">ORÇAMENTO!B316:J316</f>
        <v>MURO DA RUA 14</v>
      </c>
      <c r="C35" s="270" t="s">
        <v>973</v>
      </c>
      <c r="D35" s="271"/>
      <c r="E35" s="271"/>
      <c r="F35" s="271" t="n">
        <f aca="false">SUM(F36/O36)</f>
        <v>1</v>
      </c>
      <c r="G35" s="271"/>
      <c r="H35" s="271"/>
      <c r="I35" s="271"/>
      <c r="J35" s="271"/>
      <c r="K35" s="271"/>
      <c r="L35" s="271"/>
      <c r="M35" s="271"/>
      <c r="N35" s="271"/>
      <c r="O35" s="272" t="n">
        <f aca="false">F35</f>
        <v>1</v>
      </c>
      <c r="P35" s="265"/>
    </row>
    <row r="36" customFormat="false" ht="14.25" hidden="false" customHeight="false" outlineLevel="0" collapsed="false">
      <c r="A36" s="269"/>
      <c r="B36" s="269"/>
      <c r="C36" s="270" t="s">
        <v>1006</v>
      </c>
      <c r="D36" s="273"/>
      <c r="E36" s="273"/>
      <c r="F36" s="273" t="n">
        <f aca="false">SUM(ORÇAMENTO!K357)</f>
        <v>72272.58272555</v>
      </c>
      <c r="G36" s="273"/>
      <c r="H36" s="273"/>
      <c r="I36" s="273"/>
      <c r="J36" s="273"/>
      <c r="K36" s="273"/>
      <c r="L36" s="273"/>
      <c r="M36" s="273"/>
      <c r="N36" s="273"/>
      <c r="O36" s="274" t="n">
        <f aca="false">ORÇAMENTO!K357</f>
        <v>72272.58272555</v>
      </c>
      <c r="P36" s="268"/>
      <c r="Q36" s="268"/>
    </row>
    <row r="37" customFormat="false" ht="14.25" hidden="false" customHeight="false" outlineLevel="0" collapsed="false">
      <c r="A37" s="261" t="n">
        <v>17</v>
      </c>
      <c r="B37" s="261" t="str">
        <f aca="false">ORÇAMENTO!B359:J359</f>
        <v>ENTRADA RUA 10</v>
      </c>
      <c r="C37" s="262" t="s">
        <v>973</v>
      </c>
      <c r="D37" s="263"/>
      <c r="E37" s="263"/>
      <c r="F37" s="263" t="n">
        <f aca="false">F38/O38</f>
        <v>1</v>
      </c>
      <c r="G37" s="263"/>
      <c r="H37" s="263"/>
      <c r="I37" s="263"/>
      <c r="J37" s="263"/>
      <c r="K37" s="263"/>
      <c r="L37" s="263"/>
      <c r="M37" s="263"/>
      <c r="N37" s="263"/>
      <c r="O37" s="264" t="n">
        <f aca="false">F37</f>
        <v>1</v>
      </c>
      <c r="P37" s="265"/>
    </row>
    <row r="38" customFormat="false" ht="14.25" hidden="false" customHeight="false" outlineLevel="0" collapsed="false">
      <c r="A38" s="261"/>
      <c r="B38" s="261"/>
      <c r="C38" s="262" t="s">
        <v>1006</v>
      </c>
      <c r="D38" s="266"/>
      <c r="E38" s="266"/>
      <c r="F38" s="266" t="n">
        <f aca="false">SUM(ORÇAMENTO!K361)</f>
        <v>10332.668</v>
      </c>
      <c r="G38" s="266"/>
      <c r="H38" s="266"/>
      <c r="I38" s="266"/>
      <c r="J38" s="266"/>
      <c r="K38" s="266"/>
      <c r="L38" s="266"/>
      <c r="M38" s="266"/>
      <c r="N38" s="266"/>
      <c r="O38" s="267" t="n">
        <f aca="false">ORÇAMENTO!K361</f>
        <v>10332.668</v>
      </c>
      <c r="P38" s="268"/>
      <c r="Q38" s="268"/>
    </row>
    <row r="39" customFormat="false" ht="14.25" hidden="false" customHeight="false" outlineLevel="0" collapsed="false">
      <c r="A39" s="269" t="n">
        <v>18</v>
      </c>
      <c r="B39" s="269" t="str">
        <f aca="false">ORÇAMENTO!B363:J363</f>
        <v>ARQUIBANCADA </v>
      </c>
      <c r="C39" s="270" t="s">
        <v>973</v>
      </c>
      <c r="D39" s="271"/>
      <c r="E39" s="271"/>
      <c r="F39" s="271"/>
      <c r="G39" s="271"/>
      <c r="H39" s="271"/>
      <c r="I39" s="271"/>
      <c r="J39" s="271"/>
      <c r="K39" s="271"/>
      <c r="L39" s="271" t="n">
        <f aca="false">L40/O40</f>
        <v>1</v>
      </c>
      <c r="M39" s="271"/>
      <c r="N39" s="271"/>
      <c r="O39" s="272" t="n">
        <f aca="false">L39</f>
        <v>1</v>
      </c>
      <c r="P39" s="265"/>
    </row>
    <row r="40" customFormat="false" ht="14.25" hidden="false" customHeight="false" outlineLevel="0" collapsed="false">
      <c r="A40" s="269"/>
      <c r="B40" s="269"/>
      <c r="C40" s="270" t="s">
        <v>1006</v>
      </c>
      <c r="D40" s="273"/>
      <c r="E40" s="273"/>
      <c r="F40" s="273"/>
      <c r="G40" s="273"/>
      <c r="H40" s="273"/>
      <c r="I40" s="273"/>
      <c r="J40" s="273"/>
      <c r="K40" s="273"/>
      <c r="L40" s="273" t="n">
        <f aca="false">ORÇAMENTO!K367</f>
        <v>4012.708</v>
      </c>
      <c r="M40" s="273"/>
      <c r="N40" s="273"/>
      <c r="O40" s="274" t="n">
        <f aca="false">ORÇAMENTO!K367</f>
        <v>4012.708</v>
      </c>
      <c r="P40" s="268"/>
      <c r="Q40" s="268"/>
    </row>
    <row r="41" customFormat="false" ht="14.25" hidden="false" customHeight="false" outlineLevel="0" collapsed="false">
      <c r="A41" s="261" t="n">
        <v>19</v>
      </c>
      <c r="B41" s="261" t="str">
        <f aca="false">ORÇAMENTO!B369:J369</f>
        <v>PINTURA DO PISO - PROXIMO AS ARQUIBANCADAS</v>
      </c>
      <c r="C41" s="262" t="s">
        <v>973</v>
      </c>
      <c r="D41" s="263"/>
      <c r="E41" s="263"/>
      <c r="F41" s="263"/>
      <c r="G41" s="263"/>
      <c r="H41" s="263"/>
      <c r="I41" s="263"/>
      <c r="J41" s="263"/>
      <c r="K41" s="263"/>
      <c r="L41" s="263" t="n">
        <f aca="false">L42/O42</f>
        <v>1</v>
      </c>
      <c r="M41" s="263"/>
      <c r="N41" s="263"/>
      <c r="O41" s="264" t="n">
        <f aca="false">L41</f>
        <v>1</v>
      </c>
      <c r="P41" s="265"/>
    </row>
    <row r="42" customFormat="false" ht="14.25" hidden="false" customHeight="false" outlineLevel="0" collapsed="false">
      <c r="A42" s="261"/>
      <c r="B42" s="261"/>
      <c r="C42" s="262" t="s">
        <v>1006</v>
      </c>
      <c r="D42" s="266"/>
      <c r="E42" s="266"/>
      <c r="F42" s="266"/>
      <c r="G42" s="266"/>
      <c r="H42" s="266"/>
      <c r="I42" s="266"/>
      <c r="J42" s="266"/>
      <c r="K42" s="266"/>
      <c r="L42" s="266" t="n">
        <f aca="false">SUM(ORÇAMENTO!K371)</f>
        <v>18883.02</v>
      </c>
      <c r="M42" s="266"/>
      <c r="N42" s="266"/>
      <c r="O42" s="267" t="n">
        <f aca="false">ORÇAMENTO!K371</f>
        <v>18883.02</v>
      </c>
      <c r="P42" s="268"/>
      <c r="Q42" s="268"/>
    </row>
    <row r="43" customFormat="false" ht="14.25" hidden="false" customHeight="false" outlineLevel="0" collapsed="false">
      <c r="A43" s="269" t="n">
        <v>20</v>
      </c>
      <c r="B43" s="269" t="str">
        <f aca="false">ORÇAMENTO!B373:J373</f>
        <v>REFORMA GERAL DA BRINQUEDOTECA </v>
      </c>
      <c r="C43" s="270" t="s">
        <v>973</v>
      </c>
      <c r="D43" s="271" t="n">
        <v>0.15</v>
      </c>
      <c r="E43" s="271" t="n">
        <v>0.15</v>
      </c>
      <c r="F43" s="271" t="n">
        <f aca="false">E44/O44</f>
        <v>0.15</v>
      </c>
      <c r="G43" s="271" t="n">
        <v>0.15</v>
      </c>
      <c r="H43" s="271" t="n">
        <v>0.1</v>
      </c>
      <c r="I43" s="271" t="n">
        <v>0.1</v>
      </c>
      <c r="J43" s="271" t="n">
        <v>0.1</v>
      </c>
      <c r="K43" s="271" t="n">
        <v>0.1</v>
      </c>
      <c r="L43" s="271"/>
      <c r="M43" s="271"/>
      <c r="N43" s="271"/>
      <c r="O43" s="272" t="n">
        <f aca="false">SUM(D43:L43)</f>
        <v>1</v>
      </c>
      <c r="P43" s="265"/>
    </row>
    <row r="44" customFormat="false" ht="14.25" hidden="false" customHeight="false" outlineLevel="0" collapsed="false">
      <c r="A44" s="269"/>
      <c r="B44" s="269"/>
      <c r="C44" s="270" t="s">
        <v>1006</v>
      </c>
      <c r="D44" s="273" t="n">
        <f aca="false">SUM(O44*D43)</f>
        <v>39270.006105</v>
      </c>
      <c r="E44" s="273" t="n">
        <f aca="false">SUM(O44*E43)</f>
        <v>39270.006105</v>
      </c>
      <c r="F44" s="273" t="n">
        <f aca="false">SUM(O44*F43)</f>
        <v>39270.006105</v>
      </c>
      <c r="G44" s="273" t="n">
        <f aca="false">SUM(O44*G43)</f>
        <v>39270.006105</v>
      </c>
      <c r="H44" s="273" t="n">
        <f aca="false">SUM(O44*H43)</f>
        <v>26180.00407</v>
      </c>
      <c r="I44" s="273" t="n">
        <f aca="false">SUM(O44*I43)</f>
        <v>26180.00407</v>
      </c>
      <c r="J44" s="273" t="n">
        <f aca="false">SUM(O44*J43)</f>
        <v>26180.00407</v>
      </c>
      <c r="K44" s="273" t="n">
        <f aca="false">SUM(O44*K43)</f>
        <v>26180.00407</v>
      </c>
      <c r="L44" s="273"/>
      <c r="M44" s="273"/>
      <c r="N44" s="273"/>
      <c r="O44" s="274" t="n">
        <f aca="false">ORÇAMENTO!K451</f>
        <v>261800.0407</v>
      </c>
      <c r="P44" s="268"/>
      <c r="Q44" s="268"/>
    </row>
    <row r="45" customFormat="false" ht="14.25" hidden="false" customHeight="false" outlineLevel="0" collapsed="false">
      <c r="A45" s="261" t="n">
        <v>21</v>
      </c>
      <c r="B45" s="261" t="str">
        <f aca="false">ORÇAMENTO!B453:J453</f>
        <v>ELÉTRICA GERAL </v>
      </c>
      <c r="C45" s="262" t="s">
        <v>973</v>
      </c>
      <c r="D45" s="263"/>
      <c r="E45" s="263"/>
      <c r="F45" s="263"/>
      <c r="G45" s="263"/>
      <c r="H45" s="263"/>
      <c r="I45" s="263"/>
      <c r="J45" s="263"/>
      <c r="K45" s="263"/>
      <c r="L45" s="263" t="n">
        <v>0.3</v>
      </c>
      <c r="M45" s="263" t="n">
        <v>0.3</v>
      </c>
      <c r="N45" s="263" t="n">
        <v>0.4</v>
      </c>
      <c r="O45" s="264" t="n">
        <f aca="false">SUM(L45:N45)</f>
        <v>1</v>
      </c>
      <c r="P45" s="265"/>
    </row>
    <row r="46" customFormat="false" ht="14.25" hidden="false" customHeight="false" outlineLevel="0" collapsed="false">
      <c r="A46" s="261"/>
      <c r="B46" s="261"/>
      <c r="C46" s="262" t="s">
        <v>1006</v>
      </c>
      <c r="D46" s="266"/>
      <c r="E46" s="266"/>
      <c r="F46" s="266"/>
      <c r="G46" s="266"/>
      <c r="H46" s="266"/>
      <c r="I46" s="266"/>
      <c r="J46" s="266"/>
      <c r="K46" s="266"/>
      <c r="L46" s="275" t="n">
        <f aca="false">SUM(O46*L45)</f>
        <v>27574.66224</v>
      </c>
      <c r="M46" s="275" t="n">
        <f aca="false">SUM(O46*M45)</f>
        <v>27574.66224</v>
      </c>
      <c r="N46" s="275" t="n">
        <f aca="false">SUM(O46*N45)</f>
        <v>36766.21632</v>
      </c>
      <c r="O46" s="267" t="n">
        <f aca="false">ORÇAMENTO!K513</f>
        <v>91915.5408</v>
      </c>
      <c r="P46" s="268"/>
      <c r="Q46" s="268"/>
    </row>
    <row r="47" customFormat="false" ht="14.25" hidden="false" customHeight="false" outlineLevel="0" collapsed="false">
      <c r="A47" s="276" t="n">
        <v>21</v>
      </c>
      <c r="B47" s="276" t="str">
        <f aca="false">ORÇAMENTO!B515:K515</f>
        <v>QUADRAS DE AREIA</v>
      </c>
      <c r="C47" s="277" t="s">
        <v>973</v>
      </c>
      <c r="D47" s="278"/>
      <c r="E47" s="278"/>
      <c r="F47" s="278"/>
      <c r="G47" s="278"/>
      <c r="H47" s="278"/>
      <c r="I47" s="278"/>
      <c r="J47" s="278" t="n">
        <v>1</v>
      </c>
      <c r="K47" s="278"/>
      <c r="L47" s="278"/>
      <c r="M47" s="278"/>
      <c r="N47" s="278"/>
      <c r="O47" s="279" t="n">
        <f aca="false">J47</f>
        <v>1</v>
      </c>
      <c r="P47" s="265"/>
    </row>
    <row r="48" customFormat="false" ht="14.25" hidden="false" customHeight="false" outlineLevel="0" collapsed="false">
      <c r="A48" s="276"/>
      <c r="B48" s="276"/>
      <c r="C48" s="277" t="s">
        <v>1006</v>
      </c>
      <c r="D48" s="280"/>
      <c r="E48" s="280"/>
      <c r="F48" s="280"/>
      <c r="G48" s="280"/>
      <c r="H48" s="280"/>
      <c r="I48" s="280"/>
      <c r="J48" s="280" t="n">
        <f aca="false">SUM(O48)</f>
        <v>54790.654272</v>
      </c>
      <c r="K48" s="280"/>
      <c r="L48" s="280"/>
      <c r="M48" s="280"/>
      <c r="N48" s="280"/>
      <c r="O48" s="281" t="n">
        <f aca="false">ORÇAMENTO!K523</f>
        <v>54790.654272</v>
      </c>
      <c r="P48" s="268"/>
      <c r="Q48" s="268"/>
    </row>
    <row r="49" customFormat="false" ht="14.25" hidden="false" customHeight="true" outlineLevel="0" collapsed="false">
      <c r="A49" s="282"/>
      <c r="B49" s="283" t="s">
        <v>1007</v>
      </c>
      <c r="C49" s="283"/>
      <c r="D49" s="284" t="n">
        <f aca="false">SUM(D6+D8+D10+D12+D14+D16+D18+D20+D22+D24+D26+D28+D30+D32+D34+D36+D38+D40+D42+D44+D46+D48)</f>
        <v>163732.646585</v>
      </c>
      <c r="E49" s="284" t="n">
        <f aca="false">SUM(E6+E8+E10+E12+E14+E16+E18+E20+E22+E24+E26+E28+E30+E32+E34+E36+E38+E40+E42+E44+E46+E48)</f>
        <v>158282.466665</v>
      </c>
      <c r="F49" s="284" t="n">
        <f aca="false">SUM(F6+F8+F10+F12+F14+F16+F18+F20+F22+F24+F26+F28+F30+F32+F34+F36+F38+F40+F42+F44+F46+F48)</f>
        <v>206906.7987002</v>
      </c>
      <c r="G49" s="284" t="n">
        <f aca="false">SUM(G6+G8+G10+G12+G14+G16+G18+G20+G22+G24+G26+G28+G30+G32+G34+G36+G38+G40+G42+G44+G46+G48)</f>
        <v>118285.81585761</v>
      </c>
      <c r="H49" s="284" t="n">
        <f aca="false">SUM(H6+H8+H10+H12+H14+H16+H18+H20+H22+H24+H26+H28+H30+H32+H34+H36+H38+H40+H42+H44+H46+H48)</f>
        <v>161295.35555113</v>
      </c>
      <c r="I49" s="284" t="n">
        <f aca="false">SUM(I6+I8+I10+I12+I14+I16+I18+I20+I22+I24+I26+I28+I30+I32+I34+I36+I38+I40+I42+I44+I46+I48)</f>
        <v>122938.12960113</v>
      </c>
      <c r="J49" s="284" t="n">
        <f aca="false">SUM(J6+J8+J10+J12+J14+J16+J18+J20+J22+J24+J26+J28+J30+J32+J34+J36+J38+J40+J42+J44+J46+J48)</f>
        <v>150682.94867422</v>
      </c>
      <c r="K49" s="284" t="n">
        <f aca="false">SUM(K6+K8+K10+K12+K14+K16+K18+K20+K22+K24+K26+K28+K30+K32+K34+K36+K38+K40+K42+K44+K46+K48)</f>
        <v>135260.29409258</v>
      </c>
      <c r="L49" s="284" t="n">
        <f aca="false">SUM(L6+L8+L10+L12+L14+L16+L18+L20+L22+L24+L26+L28+L30+L32+L34+L36+L38+L40+L42+L44+L46+L48)</f>
        <v>174825.89362756</v>
      </c>
      <c r="M49" s="284" t="n">
        <f aca="false">SUM(M6+M8+M10+M12+M14+M16+M18+M20+M22+M24+M26+M28+M30+M32+M34+M36+M38+M40+M42+M44+M46+M48)</f>
        <v>161408.95351682</v>
      </c>
      <c r="N49" s="284" t="n">
        <f aca="false">SUM(N6+N8+N10+N12+N14+N16+N18+N20+N22+N24+N26+N28+N30+N32+N34+N36+N38+N40+N42+N44+N46+N48)</f>
        <v>201152.7210267</v>
      </c>
      <c r="O49" s="284" t="n">
        <f aca="false">SUM(D49:N49)</f>
        <v>1754772.02389795</v>
      </c>
    </row>
    <row r="50" customFormat="false" ht="79.2" hidden="false" customHeight="true" outlineLevel="0" collapsed="false">
      <c r="A50" s="285" t="s">
        <v>795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</sheetData>
  <mergeCells count="49">
    <mergeCell ref="A1:O1"/>
    <mergeCell ref="A2:O2"/>
    <mergeCell ref="A3:O3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B49:C49"/>
    <mergeCell ref="A50:O50"/>
  </mergeCells>
  <printOptions headings="false" gridLines="false" gridLinesSet="true" horizontalCentered="false" verticalCentered="false"/>
  <pageMargins left="0.511805555555556" right="0.511805555555556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2024-08-07T12:27:26Z</dcterms:created>
  <dc:creator>Madu Vasco</dc:creator>
  <dc:description/>
  <dc:language>pt-BR</dc:language>
  <cp:lastModifiedBy/>
  <cp:lastPrinted>2025-03-17T16:29:13Z</cp:lastPrinted>
  <dcterms:modified xsi:type="dcterms:W3CDTF">2025-03-17T16:36:08Z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