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360" yWindow="0" windowWidth="13944" windowHeight="6912" tabRatio="819" activeTab="2"/>
  </bookViews>
  <sheets>
    <sheet name="RESUMO (2)" sheetId="22" r:id="rId1"/>
    <sheet name="RESUMO" sheetId="1" r:id="rId2"/>
    <sheet name="ORÇAMENTO" sheetId="2" r:id="rId3"/>
    <sheet name="COMPOSIÇÕES" sheetId="19" r:id="rId4"/>
    <sheet name="MAPA DE ORÇAMENTOS" sheetId="17" r:id="rId5"/>
    <sheet name="MAPA DE COTAÇÃO MC01" sheetId="9" state="hidden" r:id="rId6"/>
    <sheet name="MAPA COTAÇÃO MC02" sheetId="11" state="hidden" r:id="rId7"/>
    <sheet name="CRONOGRAMA" sheetId="21" r:id="rId8"/>
    <sheet name="BDI" sheetId="15" r:id="rId9"/>
    <sheet name="LEIS SOCIAIS" sheetId="12" r:id="rId10"/>
    <sheet name="MEM. DE CÁLCULO" sheetId="20" r:id="rId11"/>
    <sheet name="MAPA QUANTITATIVO" sheetId="18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3" hidden="1">COMPOSIÇÕES!$A$5:$J$348</definedName>
    <definedName name="_xlnm._FilterDatabase" localSheetId="6" hidden="1">'MAPA COTAÇÃO MC02'!$A$19:$E$55</definedName>
    <definedName name="_xlnm._FilterDatabase" localSheetId="4" hidden="1">'MAPA DE ORÇAMENTOS'!$A$2:$AN$134</definedName>
    <definedName name="_xlnm._FilterDatabase" localSheetId="11" hidden="1">'MAPA QUANTITATIVO'!$A$2:$E$191</definedName>
    <definedName name="_xlnm._FilterDatabase" localSheetId="2" hidden="1">ORÇAMENTO!$B$7:$J$1517</definedName>
    <definedName name="_xlnm.Print_Area" localSheetId="8">BDI!$A$1:$G$33</definedName>
    <definedName name="_xlnm.Print_Area" localSheetId="7">CRONOGRAMA!$A$1:$V$33</definedName>
    <definedName name="_xlnm.Print_Area" localSheetId="9">'LEIS SOCIAIS'!$A$1:$D$37</definedName>
    <definedName name="_xlnm.Print_Area" localSheetId="6">'MAPA COTAÇÃO MC02'!$A$2:$F$92</definedName>
    <definedName name="_xlnm.Print_Area" localSheetId="5">'MAPA DE COTAÇÃO MC01'!$B$2:$F$96</definedName>
    <definedName name="_xlnm.Print_Area" localSheetId="4">'MAPA DE ORÇAMENTOS'!$A$1:$AN$134</definedName>
    <definedName name="_xlnm.Print_Area" localSheetId="10">'MEM. DE CÁLCULO'!$C$1:$I$24</definedName>
    <definedName name="_xlnm.Print_Area" localSheetId="2">ORÇAMENTO!$B$1:$J$1519</definedName>
    <definedName name="_xlnm.Print_Area" localSheetId="1">RESUMO!$A$1:$D$44</definedName>
    <definedName name="_xlnm.Print_Area" localSheetId="0">'RESUMO (2)'!$A$1:$F$44</definedName>
    <definedName name="BDI" localSheetId="8">#REF!</definedName>
    <definedName name="BDI">'[1]estimativa de custo IRMA DULCE'!$I$7</definedName>
    <definedName name="COMPOSICAOC138" localSheetId="4">[1]INFRA!#REF!</definedName>
    <definedName name="COMPOSICAOC138" localSheetId="0">[1]INFRA!#REF!</definedName>
    <definedName name="COMPOSICAOC138">[1]INFRA!#REF!</definedName>
    <definedName name="COMPOSICAOE131" localSheetId="4">[1]ELÉTRICA!#REF!</definedName>
    <definedName name="COMPOSICAOE131" localSheetId="0">[1]ELÉTRICA!#REF!</definedName>
    <definedName name="COMPOSICAOE131">[1]ELÉTRICA!#REF!</definedName>
    <definedName name="COMPOSICAOE132" localSheetId="4">[1]ELÉTRICA!#REF!</definedName>
    <definedName name="COMPOSICAOE132" localSheetId="0">[1]ELÉTRICA!#REF!</definedName>
    <definedName name="COMPOSICAOE132">[1]ELÉTRICA!#REF!</definedName>
    <definedName name="COMPOSICAOE133" localSheetId="4">[1]ELÉTRICA!#REF!</definedName>
    <definedName name="COMPOSICAOE133" localSheetId="0">[1]ELÉTRICA!#REF!</definedName>
    <definedName name="COMPOSICAOE133">[1]ELÉTRICA!#REF!</definedName>
    <definedName name="COMPOSICAOE134" localSheetId="4">[1]ELÉTRICA!#REF!</definedName>
    <definedName name="COMPOSICAOE134" localSheetId="0">[1]ELÉTRICA!#REF!</definedName>
    <definedName name="COMPOSICAOE134">[1]ELÉTRICA!#REF!</definedName>
    <definedName name="COMPOSICAOE136">[1]ELÉTRICA!$F$25</definedName>
    <definedName name="COMPOSICAOE137" localSheetId="4">[1]ELÉTRICA!#REF!</definedName>
    <definedName name="COMPOSICAOE137" localSheetId="0">[1]ELÉTRICA!#REF!</definedName>
    <definedName name="COMPOSICAOE137">[1]ELÉTRICA!#REF!</definedName>
    <definedName name="COMPOSICAOE139" localSheetId="4">[1]ELÉTRICA!#REF!</definedName>
    <definedName name="COMPOSICAOE139" localSheetId="0">[1]ELÉTRICA!#REF!</definedName>
    <definedName name="COMPOSICAOE139">[1]ELÉTRICA!#REF!</definedName>
    <definedName name="COMPOSICAOE140" localSheetId="4">[1]ELÉTRICA!#REF!</definedName>
    <definedName name="COMPOSICAOE140" localSheetId="0">[1]ELÉTRICA!#REF!</definedName>
    <definedName name="COMPOSICAOE140">[1]ELÉTRICA!#REF!</definedName>
    <definedName name="COMPOSICAOE141" localSheetId="4">[1]ELÉTRICA!#REF!</definedName>
    <definedName name="COMPOSICAOE141" localSheetId="0">[1]ELÉTRICA!#REF!</definedName>
    <definedName name="COMPOSICAOE141">[1]ELÉTRICA!#REF!</definedName>
    <definedName name="COMPOSICAOE142" localSheetId="4">[1]ELÉTRICA!#REF!</definedName>
    <definedName name="COMPOSICAOE142" localSheetId="0">[1]ELÉTRICA!#REF!</definedName>
    <definedName name="COMPOSICAOE142">[1]ELÉTRICA!#REF!</definedName>
    <definedName name="COMPOSICAOE143" localSheetId="4">[1]ELÉTRICA!#REF!</definedName>
    <definedName name="COMPOSICAOE143" localSheetId="0">[1]ELÉTRICA!#REF!</definedName>
    <definedName name="COMPOSICAOE143">[1]ELÉTRICA!#REF!</definedName>
    <definedName name="COMPOSICAOE144" localSheetId="4">[1]ELÉTRICA!#REF!</definedName>
    <definedName name="COMPOSICAOE144" localSheetId="0">[1]ELÉTRICA!#REF!</definedName>
    <definedName name="COMPOSICAOE144">[1]ELÉTRICA!#REF!</definedName>
    <definedName name="COMPOSICAOE145" localSheetId="4">[1]ELÉTRICA!#REF!</definedName>
    <definedName name="COMPOSICAOE145" localSheetId="0">[1]ELÉTRICA!#REF!</definedName>
    <definedName name="COMPOSICAOE145">[1]ELÉTRICA!#REF!</definedName>
    <definedName name="COMPOSICAOE146" localSheetId="4">[1]ELÉTRICA!#REF!</definedName>
    <definedName name="COMPOSICAOE146" localSheetId="0">[1]ELÉTRICA!#REF!</definedName>
    <definedName name="COMPOSICAOE146">[1]ELÉTRICA!#REF!</definedName>
    <definedName name="COMPOSICAOE147" localSheetId="4">[1]ELÉTRICA!#REF!</definedName>
    <definedName name="COMPOSICAOE147" localSheetId="0">[1]ELÉTRICA!#REF!</definedName>
    <definedName name="COMPOSICAOE147">[1]ELÉTRICA!#REF!</definedName>
    <definedName name="COMPOSICAOE148" localSheetId="4">[1]ELÉTRICA!#REF!</definedName>
    <definedName name="COMPOSICAOE148" localSheetId="0">[1]ELÉTRICA!#REF!</definedName>
    <definedName name="COMPOSICAOE148">[1]ELÉTRICA!#REF!</definedName>
    <definedName name="COMPOSICAOE149" localSheetId="4">[1]ELÉTRICA!#REF!</definedName>
    <definedName name="COMPOSICAOE149" localSheetId="0">[1]ELÉTRICA!#REF!</definedName>
    <definedName name="COMPOSICAOE149">[1]ELÉTRICA!#REF!</definedName>
    <definedName name="COMPOSICAOE150" localSheetId="4">[1]ELÉTRICA!#REF!</definedName>
    <definedName name="COMPOSICAOE150" localSheetId="0">[1]ELÉTRICA!#REF!</definedName>
    <definedName name="COMPOSICAOE150">[1]ELÉTRICA!#REF!</definedName>
    <definedName name="COMPOSICAOE151" localSheetId="4">[1]ELÉTRICA!#REF!</definedName>
    <definedName name="COMPOSICAOE151" localSheetId="0">[1]ELÉTRICA!#REF!</definedName>
    <definedName name="COMPOSICAOE151">[1]ELÉTRICA!#REF!</definedName>
    <definedName name="COMPOSICAOE152" localSheetId="4">[1]ELÉTRICA!#REF!</definedName>
    <definedName name="COMPOSICAOE152" localSheetId="0">[1]ELÉTRICA!#REF!</definedName>
    <definedName name="COMPOSICAOE152">[1]ELÉTRICA!#REF!</definedName>
    <definedName name="COMPOSICAOE154" localSheetId="4">[1]ELÉTRICA!#REF!</definedName>
    <definedName name="COMPOSICAOE154" localSheetId="0">[1]ELÉTRICA!#REF!</definedName>
    <definedName name="COMPOSICAOE154">[1]ELÉTRICA!#REF!</definedName>
    <definedName name="COMPOSICAOE19" localSheetId="3">#REF!</definedName>
    <definedName name="COMPOSICAOE19" localSheetId="7">#REF!</definedName>
    <definedName name="COMPOSICAOE19" localSheetId="4">#REF!</definedName>
    <definedName name="COMPOSICAOE19" localSheetId="10">#REF!</definedName>
    <definedName name="COMPOSICAOE19" localSheetId="0">#REF!</definedName>
    <definedName name="COMPOSICAOE19">#REF!</definedName>
    <definedName name="COMPOSICAOE20" localSheetId="3">#REF!</definedName>
    <definedName name="COMPOSICAOE20" localSheetId="7">#REF!</definedName>
    <definedName name="COMPOSICAOE20" localSheetId="4">#REF!</definedName>
    <definedName name="COMPOSICAOE20" localSheetId="10">#REF!</definedName>
    <definedName name="COMPOSICAOE20" localSheetId="0">#REF!</definedName>
    <definedName name="COMPOSICAOE20">#REF!</definedName>
    <definedName name="COMPOSICAOE21" localSheetId="3">#REF!</definedName>
    <definedName name="COMPOSICAOE21" localSheetId="7">#REF!</definedName>
    <definedName name="COMPOSICAOE21" localSheetId="4">#REF!</definedName>
    <definedName name="COMPOSICAOE21" localSheetId="10">#REF!</definedName>
    <definedName name="COMPOSICAOE21" localSheetId="0">#REF!</definedName>
    <definedName name="COMPOSICAOE21">#REF!</definedName>
    <definedName name="COMPOSICAOE22" localSheetId="3">#REF!</definedName>
    <definedName name="COMPOSICAOE22" localSheetId="7">#REF!</definedName>
    <definedName name="COMPOSICAOE22" localSheetId="4">#REF!</definedName>
    <definedName name="COMPOSICAOE22" localSheetId="10">#REF!</definedName>
    <definedName name="COMPOSICAOE22" localSheetId="0">#REF!</definedName>
    <definedName name="COMPOSICAOE22">#REF!</definedName>
    <definedName name="COMPOSICAOE23" localSheetId="3">#REF!</definedName>
    <definedName name="COMPOSICAOE23" localSheetId="7">#REF!</definedName>
    <definedName name="COMPOSICAOE23" localSheetId="4">#REF!</definedName>
    <definedName name="COMPOSICAOE23" localSheetId="10">#REF!</definedName>
    <definedName name="COMPOSICAOE23" localSheetId="0">#REF!</definedName>
    <definedName name="COMPOSICAOE23">#REF!</definedName>
    <definedName name="COMPOSICAOE24" localSheetId="3">#REF!</definedName>
    <definedName name="COMPOSICAOE24" localSheetId="7">#REF!</definedName>
    <definedName name="COMPOSICAOE24" localSheetId="4">#REF!</definedName>
    <definedName name="COMPOSICAOE24" localSheetId="10">#REF!</definedName>
    <definedName name="COMPOSICAOE24" localSheetId="0">#REF!</definedName>
    <definedName name="COMPOSICAOE24">#REF!</definedName>
    <definedName name="COMPOSICAOI1" localSheetId="3">#REF!</definedName>
    <definedName name="COMPOSICAOI1" localSheetId="7">#REF!</definedName>
    <definedName name="COMPOSICAOI1" localSheetId="4">#REF!</definedName>
    <definedName name="COMPOSICAOI1" localSheetId="10">#REF!</definedName>
    <definedName name="COMPOSICAOI1" localSheetId="0">#REF!</definedName>
    <definedName name="COMPOSICAOI1">#REF!</definedName>
    <definedName name="COMPOSICAOI10" localSheetId="3">#REF!</definedName>
    <definedName name="COMPOSICAOI10" localSheetId="7">#REF!</definedName>
    <definedName name="COMPOSICAOI10" localSheetId="4">#REF!</definedName>
    <definedName name="COMPOSICAOI10" localSheetId="10">#REF!</definedName>
    <definedName name="COMPOSICAOI10" localSheetId="0">#REF!</definedName>
    <definedName name="COMPOSICAOI10">#REF!</definedName>
    <definedName name="COMPOSICAOI100">[1]INFRA!$F$80</definedName>
    <definedName name="COMPOSICAOI101">[1]INFRA!$F$98</definedName>
    <definedName name="COMPOSICAOI102">[1]INFRA!$F$116</definedName>
    <definedName name="COMPOSICAOI103">[1]INFRA!$F$134</definedName>
    <definedName name="COMPOSICAOI104">[1]INFRA!$F$152</definedName>
    <definedName name="COMPOSICAOI105">[1]INFRA!$F$170</definedName>
    <definedName name="COMPOSICAOI106">[1]INFRA!$F$188</definedName>
    <definedName name="COMPOSICAOI107">[1]INFRA!$F$206</definedName>
    <definedName name="COMPOSICAOI108">[1]INFRA!$F$224</definedName>
    <definedName name="COMPOSICAOI109" localSheetId="4">[1]INFRA!#REF!</definedName>
    <definedName name="COMPOSICAOI109" localSheetId="0">[1]INFRA!#REF!</definedName>
    <definedName name="COMPOSICAOI109">[1]INFRA!#REF!</definedName>
    <definedName name="COMPOSICAOI11" localSheetId="3">#REF!</definedName>
    <definedName name="COMPOSICAOI11" localSheetId="7">#REF!</definedName>
    <definedName name="COMPOSICAOI11" localSheetId="4">#REF!</definedName>
    <definedName name="COMPOSICAOI11" localSheetId="10">#REF!</definedName>
    <definedName name="COMPOSICAOI11" localSheetId="0">#REF!</definedName>
    <definedName name="COMPOSICAOI11">#REF!</definedName>
    <definedName name="COMPOSICAOI110" localSheetId="3">[1]INFRA!#REF!</definedName>
    <definedName name="COMPOSICAOI110" localSheetId="7">[1]INFRA!#REF!</definedName>
    <definedName name="COMPOSICAOI110" localSheetId="4">[1]INFRA!#REF!</definedName>
    <definedName name="COMPOSICAOI110" localSheetId="10">[1]INFRA!#REF!</definedName>
    <definedName name="COMPOSICAOI110" localSheetId="0">[1]INFRA!#REF!</definedName>
    <definedName name="COMPOSICAOI110">[1]INFRA!#REF!</definedName>
    <definedName name="COMPOSICAOI111">[1]INFRA!$F$242</definedName>
    <definedName name="COMPOSICAOI112">[1]INFRA!$F$261</definedName>
    <definedName name="COMPOSICAOI113">[1]INFRA!$F$279</definedName>
    <definedName name="COMPOSICAOI114" localSheetId="4">[1]INFRA!#REF!</definedName>
    <definedName name="COMPOSICAOI114" localSheetId="0">[1]INFRA!#REF!</definedName>
    <definedName name="COMPOSICAOI114">[1]INFRA!#REF!</definedName>
    <definedName name="COMPOSICAOI115" localSheetId="4">[1]INFRA!#REF!</definedName>
    <definedName name="COMPOSICAOI115" localSheetId="0">[1]INFRA!#REF!</definedName>
    <definedName name="COMPOSICAOI115">[1]INFRA!#REF!</definedName>
    <definedName name="COMPOSICAOI116">[1]INFRA!$F$297</definedName>
    <definedName name="COMPOSICAOI117" localSheetId="4">[1]INFRA!#REF!</definedName>
    <definedName name="COMPOSICAOI117" localSheetId="0">[1]INFRA!#REF!</definedName>
    <definedName name="COMPOSICAOI117">[1]INFRA!#REF!</definedName>
    <definedName name="COMPOSICAOI118">[1]INFRA!$F$315</definedName>
    <definedName name="COMPOSICAOI119" localSheetId="4">[1]INFRA!#REF!</definedName>
    <definedName name="COMPOSICAOI119" localSheetId="0">[1]INFRA!#REF!</definedName>
    <definedName name="COMPOSICAOI119">[1]INFRA!#REF!</definedName>
    <definedName name="COMPOSICAOI12" localSheetId="3">#REF!</definedName>
    <definedName name="COMPOSICAOI12" localSheetId="7">#REF!</definedName>
    <definedName name="COMPOSICAOI12" localSheetId="4">#REF!</definedName>
    <definedName name="COMPOSICAOI12" localSheetId="10">#REF!</definedName>
    <definedName name="COMPOSICAOI12" localSheetId="0">#REF!</definedName>
    <definedName name="COMPOSICAOI12">#REF!</definedName>
    <definedName name="COMPOSICAOI120">[1]INFRA!$F$334</definedName>
    <definedName name="COMPOSICAOI121">[1]INFRA!$F$352</definedName>
    <definedName name="COMPOSICAOI122">[1]INFRA!$F$370</definedName>
    <definedName name="COMPOSICAOI123">[1]INFRA!$F$388</definedName>
    <definedName name="COMPOSICAOI124">[1]INFRA!$F$406</definedName>
    <definedName name="COMPOSICAOI125">[1]INFRA!$F$424</definedName>
    <definedName name="COMPOSICAOI126">[1]INFRA!$F$442</definedName>
    <definedName name="COMPOSICAOI127">[1]INFRA!$F$460</definedName>
    <definedName name="COMPOSICAOI128">[1]INFRA!$F$478</definedName>
    <definedName name="COMPOSICAOI129">[1]INFRA!$F$496</definedName>
    <definedName name="COMPOSICAOI13" localSheetId="3">#REF!</definedName>
    <definedName name="COMPOSICAOI13" localSheetId="7">#REF!</definedName>
    <definedName name="COMPOSICAOI13" localSheetId="4">#REF!</definedName>
    <definedName name="COMPOSICAOI13" localSheetId="10">#REF!</definedName>
    <definedName name="COMPOSICAOI13" localSheetId="0">#REF!</definedName>
    <definedName name="COMPOSICAOI13">#REF!</definedName>
    <definedName name="COMPOSICAOI130">[1]INFRA!$F$514</definedName>
    <definedName name="COMPOSICAOI135" localSheetId="4">[1]ELÉTRICA!#REF!</definedName>
    <definedName name="COMPOSICAOI135" localSheetId="0">[1]ELÉTRICA!#REF!</definedName>
    <definedName name="COMPOSICAOI135">[1]ELÉTRICA!#REF!</definedName>
    <definedName name="COMPOSICAOI14" localSheetId="3">#REF!</definedName>
    <definedName name="COMPOSICAOI14" localSheetId="7">#REF!</definedName>
    <definedName name="COMPOSICAOI14" localSheetId="4">#REF!</definedName>
    <definedName name="COMPOSICAOI14" localSheetId="10">#REF!</definedName>
    <definedName name="COMPOSICAOI14" localSheetId="0">#REF!</definedName>
    <definedName name="COMPOSICAOI14">#REF!</definedName>
    <definedName name="COMPOSICAOI15" localSheetId="3">#REF!</definedName>
    <definedName name="COMPOSICAOI15" localSheetId="7">#REF!</definedName>
    <definedName name="COMPOSICAOI15" localSheetId="4">#REF!</definedName>
    <definedName name="COMPOSICAOI15" localSheetId="10">#REF!</definedName>
    <definedName name="COMPOSICAOI15" localSheetId="0">#REF!</definedName>
    <definedName name="COMPOSICAOI15">#REF!</definedName>
    <definedName name="COMPOSICAOI153" localSheetId="3">[1]INFRA!#REF!</definedName>
    <definedName name="COMPOSICAOI153" localSheetId="7">[1]INFRA!#REF!</definedName>
    <definedName name="COMPOSICAOI153" localSheetId="4">[1]INFRA!#REF!</definedName>
    <definedName name="COMPOSICAOI153" localSheetId="10">[1]INFRA!#REF!</definedName>
    <definedName name="COMPOSICAOI153" localSheetId="0">[1]INFRA!#REF!</definedName>
    <definedName name="COMPOSICAOI153">[1]INFRA!#REF!</definedName>
    <definedName name="COMPOSICAOI155" localSheetId="3">[1]INFRA!#REF!</definedName>
    <definedName name="COMPOSICAOI155" localSheetId="7">[1]INFRA!#REF!</definedName>
    <definedName name="COMPOSICAOI155" localSheetId="4">[1]INFRA!#REF!</definedName>
    <definedName name="COMPOSICAOI155" localSheetId="10">[1]INFRA!#REF!</definedName>
    <definedName name="COMPOSICAOI155" localSheetId="0">[1]INFRA!#REF!</definedName>
    <definedName name="COMPOSICAOI155">[1]INFRA!#REF!</definedName>
    <definedName name="COMPOSICAOI156" localSheetId="4">[1]INFRA!#REF!</definedName>
    <definedName name="COMPOSICAOI156" localSheetId="0">[1]INFRA!#REF!</definedName>
    <definedName name="COMPOSICAOI156">[1]INFRA!#REF!</definedName>
    <definedName name="COMPOSICAOI157" localSheetId="4">[1]INFRA!#REF!</definedName>
    <definedName name="COMPOSICAOI157" localSheetId="0">[1]INFRA!#REF!</definedName>
    <definedName name="COMPOSICAOI157">[1]INFRA!#REF!</definedName>
    <definedName name="COMPOSICAOI16" localSheetId="3">#REF!</definedName>
    <definedName name="COMPOSICAOI16" localSheetId="7">#REF!</definedName>
    <definedName name="COMPOSICAOI16" localSheetId="4">#REF!</definedName>
    <definedName name="COMPOSICAOI16" localSheetId="10">#REF!</definedName>
    <definedName name="COMPOSICAOI16" localSheetId="0">#REF!</definedName>
    <definedName name="COMPOSICAOI16">#REF!</definedName>
    <definedName name="COMPOSICAOI17" localSheetId="3">#REF!</definedName>
    <definedName name="COMPOSICAOI17" localSheetId="7">#REF!</definedName>
    <definedName name="COMPOSICAOI17" localSheetId="4">#REF!</definedName>
    <definedName name="COMPOSICAOI17" localSheetId="10">#REF!</definedName>
    <definedName name="COMPOSICAOI17" localSheetId="0">#REF!</definedName>
    <definedName name="COMPOSICAOI17">#REF!</definedName>
    <definedName name="COMPOSICAOI18" localSheetId="3">#REF!</definedName>
    <definedName name="COMPOSICAOI18" localSheetId="7">#REF!</definedName>
    <definedName name="COMPOSICAOI18" localSheetId="4">#REF!</definedName>
    <definedName name="COMPOSICAOI18" localSheetId="10">#REF!</definedName>
    <definedName name="COMPOSICAOI18" localSheetId="0">#REF!</definedName>
    <definedName name="COMPOSICAOI18">#REF!</definedName>
    <definedName name="COMPOSICAOI2" localSheetId="3">#REF!</definedName>
    <definedName name="COMPOSICAOI2" localSheetId="7">#REF!</definedName>
    <definedName name="COMPOSICAOI2" localSheetId="4">#REF!</definedName>
    <definedName name="COMPOSICAOI2" localSheetId="10">#REF!</definedName>
    <definedName name="COMPOSICAOI2" localSheetId="0">#REF!</definedName>
    <definedName name="COMPOSICAOI2">#REF!</definedName>
    <definedName name="COMPOSICAOI200" localSheetId="3">[1]INFRA!#REF!</definedName>
    <definedName name="COMPOSICAOI200" localSheetId="7">[1]INFRA!#REF!</definedName>
    <definedName name="COMPOSICAOI200" localSheetId="4">[1]INFRA!#REF!</definedName>
    <definedName name="COMPOSICAOI200" localSheetId="10">[1]INFRA!#REF!</definedName>
    <definedName name="COMPOSICAOI200" localSheetId="0">[1]INFRA!#REF!</definedName>
    <definedName name="COMPOSICAOI200">[1]INFRA!#REF!</definedName>
    <definedName name="COMPOSICAOI202" localSheetId="3">[1]INFRA!#REF!</definedName>
    <definedName name="COMPOSICAOI202" localSheetId="7">[1]INFRA!#REF!</definedName>
    <definedName name="COMPOSICAOI202" localSheetId="4">[1]INFRA!#REF!</definedName>
    <definedName name="COMPOSICAOI202" localSheetId="10">[1]INFRA!#REF!</definedName>
    <definedName name="COMPOSICAOI202" localSheetId="0">[1]INFRA!#REF!</definedName>
    <definedName name="COMPOSICAOI202">[1]INFRA!#REF!</definedName>
    <definedName name="COMPOSICAOI203">[1]INFRA!$F$532</definedName>
    <definedName name="COMPOSICAOI204" localSheetId="4">[1]INFRA!#REF!</definedName>
    <definedName name="COMPOSICAOI204" localSheetId="0">[1]INFRA!#REF!</definedName>
    <definedName name="COMPOSICAOI204">[1]INFRA!#REF!</definedName>
    <definedName name="COMPOSICAOI3" localSheetId="3">#REF!</definedName>
    <definedName name="COMPOSICAOI3" localSheetId="7">#REF!</definedName>
    <definedName name="COMPOSICAOI3" localSheetId="4">#REF!</definedName>
    <definedName name="COMPOSICAOI3" localSheetId="10">#REF!</definedName>
    <definedName name="COMPOSICAOI3" localSheetId="0">#REF!</definedName>
    <definedName name="COMPOSICAOI3">#REF!</definedName>
    <definedName name="COMPOSICAOI4" localSheetId="3">#REF!</definedName>
    <definedName name="COMPOSICAOI4" localSheetId="7">#REF!</definedName>
    <definedName name="COMPOSICAOI4" localSheetId="4">#REF!</definedName>
    <definedName name="COMPOSICAOI4" localSheetId="10">#REF!</definedName>
    <definedName name="COMPOSICAOI4" localSheetId="0">#REF!</definedName>
    <definedName name="COMPOSICAOI4">#REF!</definedName>
    <definedName name="COMPOSICAOI5" localSheetId="3">#REF!</definedName>
    <definedName name="COMPOSICAOI5" localSheetId="7">#REF!</definedName>
    <definedName name="COMPOSICAOI5" localSheetId="4">#REF!</definedName>
    <definedName name="COMPOSICAOI5" localSheetId="10">#REF!</definedName>
    <definedName name="COMPOSICAOI5" localSheetId="0">#REF!</definedName>
    <definedName name="COMPOSICAOI5">#REF!</definedName>
    <definedName name="COMPOSICAOI6" localSheetId="3">#REF!</definedName>
    <definedName name="COMPOSICAOI6" localSheetId="7">#REF!</definedName>
    <definedName name="COMPOSICAOI6" localSheetId="4">#REF!</definedName>
    <definedName name="COMPOSICAOI6" localSheetId="10">#REF!</definedName>
    <definedName name="COMPOSICAOI6" localSheetId="0">#REF!</definedName>
    <definedName name="COMPOSICAOI6">#REF!</definedName>
    <definedName name="COMPOSICAOI7" localSheetId="3">#REF!</definedName>
    <definedName name="COMPOSICAOI7" localSheetId="7">#REF!</definedName>
    <definedName name="COMPOSICAOI7" localSheetId="4">#REF!</definedName>
    <definedName name="COMPOSICAOI7" localSheetId="10">#REF!</definedName>
    <definedName name="COMPOSICAOI7" localSheetId="0">#REF!</definedName>
    <definedName name="COMPOSICAOI7">#REF!</definedName>
    <definedName name="COMPOSICAOI8" localSheetId="3">#REF!</definedName>
    <definedName name="COMPOSICAOI8" localSheetId="7">#REF!</definedName>
    <definedName name="COMPOSICAOI8" localSheetId="4">#REF!</definedName>
    <definedName name="COMPOSICAOI8" localSheetId="10">#REF!</definedName>
    <definedName name="COMPOSICAOI8" localSheetId="0">#REF!</definedName>
    <definedName name="COMPOSICAOI8">#REF!</definedName>
    <definedName name="COMPOSICAOI87" localSheetId="3">[1]INFRA!#REF!</definedName>
    <definedName name="COMPOSICAOI87" localSheetId="7">[1]INFRA!#REF!</definedName>
    <definedName name="COMPOSICAOI87" localSheetId="4">[1]INFRA!#REF!</definedName>
    <definedName name="COMPOSICAOI87" localSheetId="10">[1]INFRA!#REF!</definedName>
    <definedName name="COMPOSICAOI87" localSheetId="0">[1]INFRA!#REF!</definedName>
    <definedName name="COMPOSICAOI87">[1]INFRA!#REF!</definedName>
    <definedName name="COMPOSICAOI88" localSheetId="3">[1]INFRA!#REF!</definedName>
    <definedName name="COMPOSICAOI88" localSheetId="7">[1]INFRA!#REF!</definedName>
    <definedName name="COMPOSICAOI88" localSheetId="4">[1]INFRA!#REF!</definedName>
    <definedName name="COMPOSICAOI88" localSheetId="10">[1]INFRA!#REF!</definedName>
    <definedName name="COMPOSICAOI88" localSheetId="0">[1]INFRA!#REF!</definedName>
    <definedName name="COMPOSICAOI88">[1]INFRA!#REF!</definedName>
    <definedName name="COMPOSICAOI89" localSheetId="4">[1]INFRA!#REF!</definedName>
    <definedName name="COMPOSICAOI89" localSheetId="0">[1]INFRA!#REF!</definedName>
    <definedName name="COMPOSICAOI89">[1]INFRA!#REF!</definedName>
    <definedName name="COMPOSICAOI9">[1]INFRA!$F$27</definedName>
    <definedName name="COMPOSICAOI90" localSheetId="4">[1]INFRA!#REF!</definedName>
    <definedName name="COMPOSICAOI90" localSheetId="0">[1]INFRA!#REF!</definedName>
    <definedName name="COMPOSICAOI90">[1]INFRA!#REF!</definedName>
    <definedName name="COMPOSICAOI91" localSheetId="4">[1]INFRA!#REF!</definedName>
    <definedName name="COMPOSICAOI91" localSheetId="0">[1]INFRA!#REF!</definedName>
    <definedName name="COMPOSICAOI91">[1]INFRA!#REF!</definedName>
    <definedName name="COMPOSICAOI92" localSheetId="4">[1]INFRA!#REF!</definedName>
    <definedName name="COMPOSICAOI92" localSheetId="0">[1]INFRA!#REF!</definedName>
    <definedName name="COMPOSICAOI92">[1]INFRA!#REF!</definedName>
    <definedName name="COMPOSICAOI93" localSheetId="4">[1]INFRA!#REF!</definedName>
    <definedName name="COMPOSICAOI93" localSheetId="0">[1]INFRA!#REF!</definedName>
    <definedName name="COMPOSICAOI93">[1]INFRA!#REF!</definedName>
    <definedName name="COMPOSICAOI94" localSheetId="4">[1]INFRA!#REF!</definedName>
    <definedName name="COMPOSICAOI94" localSheetId="0">[1]INFRA!#REF!</definedName>
    <definedName name="COMPOSICAOI94">[1]INFRA!#REF!</definedName>
    <definedName name="COMPOSICAOI95">[1]INFRA!$F$44</definedName>
    <definedName name="COMPOSICAOI96" localSheetId="4">[1]INFRA!#REF!</definedName>
    <definedName name="COMPOSICAOI96" localSheetId="0">[1]INFRA!#REF!</definedName>
    <definedName name="COMPOSICAOI96">[1]INFRA!#REF!</definedName>
    <definedName name="COMPOSICAOI97" localSheetId="4">[1]INFRA!#REF!</definedName>
    <definedName name="COMPOSICAOI97" localSheetId="0">[1]INFRA!#REF!</definedName>
    <definedName name="COMPOSICAOI97">[1]INFRA!#REF!</definedName>
    <definedName name="COMPOSICAOI98" localSheetId="4">[1]INFRA!#REF!</definedName>
    <definedName name="COMPOSICAOI98" localSheetId="0">[1]INFRA!#REF!</definedName>
    <definedName name="COMPOSICAOI98">[1]INFRA!#REF!</definedName>
    <definedName name="COMPOSICAOI99">[1]INFRA!$F$62</definedName>
    <definedName name="COMPOSICAOL64">'[1]LÓGICA 2'!$F$24</definedName>
    <definedName name="COMPOSICAOL65">'[1]LÓGICA 2'!$F$42</definedName>
    <definedName name="COMPOSICAOL67">'[1]LÓGICA 2'!$F$78</definedName>
    <definedName name="COMPOSICAOL68">'[1]LÓGICA 2'!$F$96</definedName>
    <definedName name="COMPOSICAOL69">'[1]LÓGICA 2'!$F$116</definedName>
    <definedName name="COMPOSICAOL70">'[1]LÓGICA 2'!$F$134</definedName>
    <definedName name="COMPOSICAOL71" localSheetId="4">'[1]LÓGICA 2'!#REF!</definedName>
    <definedName name="COMPOSICAOL71" localSheetId="0">'[1]LÓGICA 2'!#REF!</definedName>
    <definedName name="COMPOSICAOL71">'[1]LÓGICA 2'!#REF!</definedName>
    <definedName name="COMPOSICAOL72">'[1]LÓGICA 2'!$F$155</definedName>
    <definedName name="COMPOSICAOL73">'[1]LÓGICA 2'!$F$177</definedName>
    <definedName name="COMPOSICAOL74" localSheetId="4">'[1]LÓGICA 2'!#REF!</definedName>
    <definedName name="COMPOSICAOL74" localSheetId="0">'[1]LÓGICA 2'!#REF!</definedName>
    <definedName name="COMPOSICAOL74">'[1]LÓGICA 2'!#REF!</definedName>
    <definedName name="COMPOSICAOL75" localSheetId="4">'[1]LÓGICA 2'!#REF!</definedName>
    <definedName name="COMPOSICAOL75" localSheetId="0">'[1]LÓGICA 2'!#REF!</definedName>
    <definedName name="COMPOSICAOL75">'[1]LÓGICA 2'!#REF!</definedName>
    <definedName name="COMPOSICAOL76">'[1]LÓGICA 2'!$F$195</definedName>
    <definedName name="COMPOSICAOL77">'[1]LÓGICA 2'!$F$213</definedName>
    <definedName name="COMPOSICAOL78">'[1]LÓGICA 2'!$F$231</definedName>
    <definedName name="COMPOSICAOL79">'[1]LÓGICA 2'!$F$249</definedName>
    <definedName name="COMPOSICAOL80">'[1]LÓGICA 2'!$F$267</definedName>
    <definedName name="COMPOSICAOL81">'[1]LÓGICA 2'!$F$285</definedName>
    <definedName name="COMPOSICAOL82">'[1]LÓGICA 2'!$F$303</definedName>
    <definedName name="COMPOSICAOL83" localSheetId="4">'[1]LÓGICA 2'!#REF!</definedName>
    <definedName name="COMPOSICAOL83" localSheetId="0">'[1]LÓGICA 2'!#REF!</definedName>
    <definedName name="COMPOSICAOL83">'[1]LÓGICA 2'!#REF!</definedName>
    <definedName name="COMPOSICAOL84">'[1]LÓGICA 2'!$F$321</definedName>
    <definedName name="COMPOSICAOL85">'[1]LÓGICA 2'!$F$339</definedName>
    <definedName name="COMPOSICAOL86">'[1]LÓGICA 2'!$F$357</definedName>
    <definedName name="COMPOSICAOL87">'[1]LÓGICA 2'!$F$374</definedName>
    <definedName name="Serviços">[2]Solum!$A$3:$AD$2430</definedName>
    <definedName name="_xlnm.Print_Titles" localSheetId="3">COMPOSIÇÕES!$1:$5</definedName>
    <definedName name="_xlnm.Print_Titles" localSheetId="6">'MAPA COTAÇÃO MC02'!$2:$18</definedName>
    <definedName name="_xlnm.Print_Titles" localSheetId="5">'MAPA DE COTAÇÃO MC01'!$2:$6</definedName>
    <definedName name="_xlnm.Print_Titles" localSheetId="4">'MAPA DE ORÇAMENTOS'!$1:$2</definedName>
    <definedName name="_xlnm.Print_Titles" localSheetId="11">'MAPA QUANTITATIVO'!$1:$2</definedName>
    <definedName name="_xlnm.Print_Titles" localSheetId="10">'MEM. DE CÁLCULO'!$1:$4</definedName>
    <definedName name="_xlnm.Print_Titles" localSheetId="2">ORÇAMENTO!$1:$7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2"/>
  <c r="D33"/>
  <c r="B9"/>
  <c r="D154" i="2" l="1"/>
  <c r="D121"/>
  <c r="D120"/>
  <c r="D118"/>
  <c r="D117"/>
  <c r="D116"/>
  <c r="D44"/>
  <c r="D43"/>
  <c r="D42"/>
  <c r="D1490"/>
  <c r="D1489"/>
  <c r="D1448"/>
  <c r="D1013"/>
  <c r="D1012"/>
  <c r="D1011"/>
  <c r="D1010"/>
  <c r="D930"/>
  <c r="D399"/>
  <c r="D398"/>
  <c r="D354"/>
  <c r="D353"/>
  <c r="D352"/>
  <c r="D331"/>
  <c r="D330"/>
  <c r="D329"/>
  <c r="D286"/>
  <c r="D285"/>
  <c r="D284"/>
  <c r="D282"/>
  <c r="D268"/>
  <c r="D266"/>
  <c r="D265"/>
  <c r="D264"/>
  <c r="D212"/>
  <c r="D209"/>
  <c r="D210"/>
  <c r="H102"/>
  <c r="H1511"/>
  <c r="H1510"/>
  <c r="H1509"/>
  <c r="H1492"/>
  <c r="H1491"/>
  <c r="H1449"/>
  <c r="H1448"/>
  <c r="H1447"/>
  <c r="H1433"/>
  <c r="H1434"/>
  <c r="H1430"/>
  <c r="H1390"/>
  <c r="H1389"/>
  <c r="H1388"/>
  <c r="H1334"/>
  <c r="H1333"/>
  <c r="H1332"/>
  <c r="H1316"/>
  <c r="H1278"/>
  <c r="H1277"/>
  <c r="H1253"/>
  <c r="H1146"/>
  <c r="H1145"/>
  <c r="H1144"/>
  <c r="H1126"/>
  <c r="H1084"/>
  <c r="H1083"/>
  <c r="H1017"/>
  <c r="H1016"/>
  <c r="H1015"/>
  <c r="H1014"/>
  <c r="H991"/>
  <c r="H948"/>
  <c r="H947"/>
  <c r="H946"/>
  <c r="H892"/>
  <c r="H873"/>
  <c r="H872"/>
  <c r="H871"/>
  <c r="H798"/>
  <c r="H797"/>
  <c r="H755"/>
  <c r="H754"/>
  <c r="H753"/>
  <c r="H735"/>
  <c r="H674"/>
  <c r="H671"/>
  <c r="H667"/>
  <c r="H580"/>
  <c r="H579"/>
  <c r="H543"/>
  <c r="H513"/>
  <c r="H470"/>
  <c r="H469"/>
  <c r="H401"/>
  <c r="H400"/>
  <c r="H333"/>
  <c r="H327"/>
  <c r="H326"/>
  <c r="H325"/>
  <c r="H324"/>
  <c r="H307"/>
  <c r="H306"/>
  <c r="H305"/>
  <c r="H304"/>
  <c r="H271"/>
  <c r="I271"/>
  <c r="I270"/>
  <c r="H262"/>
  <c r="H261"/>
  <c r="H225"/>
  <c r="H224"/>
  <c r="H223"/>
  <c r="I195"/>
  <c r="H192"/>
  <c r="H191"/>
  <c r="H184"/>
  <c r="H183"/>
  <c r="H182"/>
  <c r="H181"/>
  <c r="H180"/>
  <c r="H172"/>
  <c r="H165"/>
  <c r="H163"/>
  <c r="H162"/>
  <c r="H161"/>
  <c r="H160"/>
  <c r="H159"/>
  <c r="H122"/>
  <c r="H114"/>
  <c r="H113"/>
  <c r="H112"/>
  <c r="H111"/>
  <c r="H110"/>
  <c r="H1508" l="1"/>
  <c r="H1507"/>
  <c r="H1506"/>
  <c r="H1505"/>
  <c r="H1504"/>
  <c r="H1503"/>
  <c r="H1502"/>
  <c r="H1501"/>
  <c r="H1500"/>
  <c r="H1499"/>
  <c r="H1498"/>
  <c r="H1497"/>
  <c r="H1496"/>
  <c r="H1495"/>
  <c r="H1494"/>
  <c r="H1490"/>
  <c r="H1489"/>
  <c r="H1488"/>
  <c r="H1482"/>
  <c r="H1481"/>
  <c r="H1446"/>
  <c r="H1445"/>
  <c r="H1444"/>
  <c r="H1443"/>
  <c r="H1442"/>
  <c r="H1441"/>
  <c r="H1440"/>
  <c r="H1439"/>
  <c r="H1438"/>
  <c r="H1437"/>
  <c r="H1436"/>
  <c r="H1435"/>
  <c r="H1432"/>
  <c r="H1429"/>
  <c r="H1428"/>
  <c r="H1427"/>
  <c r="H1422"/>
  <c r="H1421"/>
  <c r="H1387"/>
  <c r="H1386"/>
  <c r="H1385"/>
  <c r="H1384"/>
  <c r="H1383"/>
  <c r="H1382"/>
  <c r="H1381"/>
  <c r="H1380"/>
  <c r="H1379"/>
  <c r="H1378"/>
  <c r="H1377"/>
  <c r="H1376"/>
  <c r="H1375"/>
  <c r="H1374"/>
  <c r="H1372"/>
  <c r="H1371"/>
  <c r="H1370"/>
  <c r="H1366"/>
  <c r="H1365"/>
  <c r="H1331"/>
  <c r="H1330"/>
  <c r="H1329"/>
  <c r="H1328"/>
  <c r="H1327"/>
  <c r="H1326"/>
  <c r="H1325"/>
  <c r="H1324"/>
  <c r="H1323"/>
  <c r="H1322"/>
  <c r="H1321"/>
  <c r="H1320"/>
  <c r="H1319"/>
  <c r="H1318"/>
  <c r="H1317"/>
  <c r="H1315"/>
  <c r="H1314"/>
  <c r="H1313"/>
  <c r="H1308"/>
  <c r="H130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2"/>
  <c r="H1251"/>
  <c r="H1250"/>
  <c r="H1249"/>
  <c r="H1245"/>
  <c r="H1244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88"/>
  <c r="H1187"/>
  <c r="H1186"/>
  <c r="H1185"/>
  <c r="H1179"/>
  <c r="H1178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5"/>
  <c r="H1124"/>
  <c r="H1123"/>
  <c r="H1122"/>
  <c r="H1116"/>
  <c r="H1115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2"/>
  <c r="H1061"/>
  <c r="H1060"/>
  <c r="H1059"/>
  <c r="H1058"/>
  <c r="H1057"/>
  <c r="H1052"/>
  <c r="H1051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0"/>
  <c r="H989"/>
  <c r="H988"/>
  <c r="H987"/>
  <c r="H980"/>
  <c r="H979"/>
  <c r="H945"/>
  <c r="H944"/>
  <c r="H943"/>
  <c r="H942"/>
  <c r="H941"/>
  <c r="H940"/>
  <c r="H939"/>
  <c r="H938"/>
  <c r="H937"/>
  <c r="H936"/>
  <c r="H935"/>
  <c r="H934"/>
  <c r="H933"/>
  <c r="H932"/>
  <c r="H930"/>
  <c r="H929"/>
  <c r="H924"/>
  <c r="H923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0"/>
  <c r="H869"/>
  <c r="H868"/>
  <c r="H867"/>
  <c r="H866"/>
  <c r="H865"/>
  <c r="H857"/>
  <c r="H85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799"/>
  <c r="H796"/>
  <c r="H795"/>
  <c r="H794"/>
  <c r="H788"/>
  <c r="H787"/>
  <c r="H752"/>
  <c r="H751"/>
  <c r="H750"/>
  <c r="H749"/>
  <c r="H748"/>
  <c r="H747"/>
  <c r="H746"/>
  <c r="H745"/>
  <c r="H744"/>
  <c r="H743"/>
  <c r="H742"/>
  <c r="H741"/>
  <c r="H740"/>
  <c r="H739"/>
  <c r="H738"/>
  <c r="H737"/>
  <c r="H734"/>
  <c r="H733"/>
  <c r="H732"/>
  <c r="H731"/>
  <c r="H725"/>
  <c r="H724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3"/>
  <c r="H672"/>
  <c r="H670"/>
  <c r="H669"/>
  <c r="H668"/>
  <c r="H662"/>
  <c r="H661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0"/>
  <c r="H60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7"/>
  <c r="H556"/>
  <c r="H555"/>
  <c r="H554"/>
  <c r="H548"/>
  <c r="H547"/>
  <c r="H512"/>
  <c r="H511"/>
  <c r="H510"/>
  <c r="H509"/>
  <c r="H508"/>
  <c r="H507"/>
  <c r="H506"/>
  <c r="H505"/>
  <c r="H504"/>
  <c r="H500"/>
  <c r="H499"/>
  <c r="H468"/>
  <c r="H467"/>
  <c r="H466"/>
  <c r="H465"/>
  <c r="H464"/>
  <c r="H463"/>
  <c r="H462"/>
  <c r="H461"/>
  <c r="H460"/>
  <c r="H459"/>
  <c r="H458"/>
  <c r="H457"/>
  <c r="H450"/>
  <c r="H449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399"/>
  <c r="H398"/>
  <c r="H397"/>
  <c r="H391"/>
  <c r="H390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2"/>
  <c r="H331"/>
  <c r="H330"/>
  <c r="H329"/>
  <c r="H328"/>
  <c r="H321"/>
  <c r="H320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0"/>
  <c r="H269"/>
  <c r="H268"/>
  <c r="H267"/>
  <c r="H266"/>
  <c r="H265"/>
  <c r="H264"/>
  <c r="H263"/>
  <c r="H258"/>
  <c r="H257"/>
  <c r="C200"/>
  <c r="C199"/>
  <c r="C198"/>
  <c r="C197"/>
  <c r="C196"/>
  <c r="C195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4"/>
  <c r="H190"/>
  <c r="H189"/>
  <c r="H188"/>
  <c r="H187"/>
  <c r="H186"/>
  <c r="H185"/>
  <c r="H177"/>
  <c r="H176"/>
  <c r="H121"/>
  <c r="I124"/>
  <c r="H124"/>
  <c r="H144"/>
  <c r="H137"/>
  <c r="H136"/>
  <c r="H135"/>
  <c r="H134"/>
  <c r="H133"/>
  <c r="H132"/>
  <c r="H131"/>
  <c r="H130"/>
  <c r="H129"/>
  <c r="H127"/>
  <c r="H126"/>
  <c r="H123"/>
  <c r="H120"/>
  <c r="H119"/>
  <c r="H118"/>
  <c r="H117"/>
  <c r="H116"/>
  <c r="H115"/>
  <c r="H107"/>
  <c r="H106"/>
  <c r="H74"/>
  <c r="H73"/>
  <c r="H72"/>
  <c r="H71"/>
  <c r="H70"/>
  <c r="H69"/>
  <c r="H68"/>
  <c r="H67"/>
  <c r="H66"/>
  <c r="H65"/>
  <c r="H64"/>
  <c r="H61"/>
  <c r="H60"/>
  <c r="H57"/>
  <c r="H52"/>
  <c r="H47"/>
  <c r="H48"/>
  <c r="H49"/>
  <c r="H50"/>
  <c r="H51"/>
  <c r="H46"/>
  <c r="H44"/>
  <c r="H41"/>
  <c r="H36"/>
  <c r="H35"/>
  <c r="J232" i="19"/>
  <c r="I232"/>
  <c r="F232"/>
  <c r="I219"/>
  <c r="J219" s="1"/>
  <c r="I218"/>
  <c r="J218" s="1"/>
  <c r="I217"/>
  <c r="J217" s="1"/>
  <c r="J216"/>
  <c r="I216"/>
  <c r="J191"/>
  <c r="I191"/>
  <c r="J166"/>
  <c r="J165"/>
  <c r="J164"/>
  <c r="I166"/>
  <c r="I165"/>
  <c r="I164"/>
  <c r="J163"/>
  <c r="I163"/>
  <c r="J154"/>
  <c r="I154"/>
  <c r="I145"/>
  <c r="J145" s="1"/>
  <c r="I144"/>
  <c r="J144" s="1"/>
  <c r="I143"/>
  <c r="J143" s="1"/>
  <c r="I142"/>
  <c r="J142" s="1"/>
  <c r="I141"/>
  <c r="J141" s="1"/>
  <c r="J140"/>
  <c r="I140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J84"/>
  <c r="J83"/>
  <c r="I84"/>
  <c r="I83"/>
  <c r="J74"/>
  <c r="J73"/>
  <c r="I74"/>
  <c r="I73"/>
  <c r="F344"/>
  <c r="F343"/>
  <c r="F336"/>
  <c r="F335"/>
  <c r="F328"/>
  <c r="F327"/>
  <c r="F320"/>
  <c r="F319"/>
  <c r="F312"/>
  <c r="F311"/>
  <c r="F304"/>
  <c r="F303"/>
  <c r="F295"/>
  <c r="F296"/>
  <c r="F288"/>
  <c r="F287"/>
  <c r="F279"/>
  <c r="F280"/>
  <c r="F272"/>
  <c r="F263"/>
  <c r="F264"/>
  <c r="F255"/>
  <c r="F256"/>
  <c r="F248"/>
  <c r="F247"/>
  <c r="F240"/>
  <c r="F239"/>
  <c r="F223"/>
  <c r="F222"/>
  <c r="F210"/>
  <c r="F202"/>
  <c r="F194"/>
  <c r="F195"/>
  <c r="F203" s="1"/>
  <c r="F211" s="1"/>
  <c r="F178"/>
  <c r="F186" s="1"/>
  <c r="F177"/>
  <c r="F185" s="1"/>
  <c r="F170"/>
  <c r="F169"/>
  <c r="F157"/>
  <c r="F158"/>
  <c r="F149"/>
  <c r="F148"/>
  <c r="F109"/>
  <c r="F110"/>
  <c r="B32" i="2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A9"/>
  <c r="F116" i="19" l="1"/>
  <c r="F78"/>
  <c r="G76"/>
  <c r="H76" s="1"/>
  <c r="I76" s="1"/>
  <c r="G78"/>
  <c r="I78" s="1"/>
  <c r="J78" s="1"/>
  <c r="G77"/>
  <c r="G1469" i="2"/>
  <c r="G1353"/>
  <c r="G1409" s="1"/>
  <c r="G1297"/>
  <c r="G1234"/>
  <c r="G1166"/>
  <c r="G1103"/>
  <c r="G1036"/>
  <c r="G967"/>
  <c r="G911"/>
  <c r="G844"/>
  <c r="G775"/>
  <c r="G712"/>
  <c r="G651"/>
  <c r="G599"/>
  <c r="G534"/>
  <c r="G487"/>
  <c r="G437"/>
  <c r="G378"/>
  <c r="G308"/>
  <c r="D308"/>
  <c r="D378" s="1"/>
  <c r="D437" s="1"/>
  <c r="D487" s="1"/>
  <c r="D534" s="1"/>
  <c r="D599" s="1"/>
  <c r="D651" s="1"/>
  <c r="D712" s="1"/>
  <c r="D775" s="1"/>
  <c r="D844" s="1"/>
  <c r="D911" s="1"/>
  <c r="D967" s="1"/>
  <c r="D1036" s="1"/>
  <c r="D1103" s="1"/>
  <c r="D1166" s="1"/>
  <c r="D1234" s="1"/>
  <c r="D1297" s="1"/>
  <c r="D1353" s="1"/>
  <c r="D1409" s="1"/>
  <c r="D1469" s="1"/>
  <c r="E308"/>
  <c r="E378" s="1"/>
  <c r="E437" s="1"/>
  <c r="E487" s="1"/>
  <c r="E534" s="1"/>
  <c r="E599" s="1"/>
  <c r="E651" s="1"/>
  <c r="E712" s="1"/>
  <c r="E775" s="1"/>
  <c r="E844" s="1"/>
  <c r="E911" s="1"/>
  <c r="E967" s="1"/>
  <c r="E1036" s="1"/>
  <c r="E1103" s="1"/>
  <c r="E1166" s="1"/>
  <c r="E1234" s="1"/>
  <c r="E1297" s="1"/>
  <c r="E1353" s="1"/>
  <c r="E1409" s="1"/>
  <c r="E1469" s="1"/>
  <c r="F308"/>
  <c r="F378" s="1"/>
  <c r="F437" s="1"/>
  <c r="F487" s="1"/>
  <c r="F534" s="1"/>
  <c r="F599" s="1"/>
  <c r="F651" s="1"/>
  <c r="F712" s="1"/>
  <c r="F775" s="1"/>
  <c r="F844" s="1"/>
  <c r="F911" s="1"/>
  <c r="F967" s="1"/>
  <c r="F1036" s="1"/>
  <c r="F1103" s="1"/>
  <c r="F1166" s="1"/>
  <c r="F1234" s="1"/>
  <c r="F1297" s="1"/>
  <c r="F1353" s="1"/>
  <c r="F1409" s="1"/>
  <c r="F1469" s="1"/>
  <c r="C308"/>
  <c r="C378" s="1"/>
  <c r="C437" s="1"/>
  <c r="C487" s="1"/>
  <c r="C534" s="1"/>
  <c r="C599" s="1"/>
  <c r="C651" s="1"/>
  <c r="C712" s="1"/>
  <c r="C775" s="1"/>
  <c r="C844" s="1"/>
  <c r="C911" s="1"/>
  <c r="C967" s="1"/>
  <c r="C1036" s="1"/>
  <c r="C1103" s="1"/>
  <c r="C1166" s="1"/>
  <c r="C1234" s="1"/>
  <c r="C1297" s="1"/>
  <c r="C1353" s="1"/>
  <c r="C1409" s="1"/>
  <c r="C1469" s="1"/>
  <c r="F245"/>
  <c r="E245"/>
  <c r="D245"/>
  <c r="G245"/>
  <c r="C245"/>
  <c r="G94"/>
  <c r="G23"/>
  <c r="D164"/>
  <c r="E164"/>
  <c r="F164"/>
  <c r="C164"/>
  <c r="G164"/>
  <c r="D94"/>
  <c r="E94"/>
  <c r="F94"/>
  <c r="C94"/>
  <c r="C23"/>
  <c r="E23"/>
  <c r="D23"/>
  <c r="H77" i="19" l="1"/>
  <c r="I77" s="1"/>
  <c r="J77" s="1"/>
  <c r="J76"/>
  <c r="B9"/>
  <c r="C9"/>
  <c r="G9"/>
  <c r="D1463" i="2"/>
  <c r="D1404"/>
  <c r="D1348"/>
  <c r="D1292"/>
  <c r="D1229"/>
  <c r="D1160"/>
  <c r="D1098"/>
  <c r="D1031"/>
  <c r="D962"/>
  <c r="D906"/>
  <c r="D839"/>
  <c r="D769"/>
  <c r="D706"/>
  <c r="D646"/>
  <c r="D594"/>
  <c r="D527"/>
  <c r="D484"/>
  <c r="D433"/>
  <c r="D88"/>
  <c r="D158"/>
  <c r="D239"/>
  <c r="D302"/>
  <c r="D372"/>
  <c r="D15"/>
  <c r="G13" i="19"/>
  <c r="G12"/>
  <c r="G11"/>
  <c r="C10"/>
  <c r="A10"/>
  <c r="D1515" i="2"/>
  <c r="D1482"/>
  <c r="D1481"/>
  <c r="D1480"/>
  <c r="D1479"/>
  <c r="D1453"/>
  <c r="D1317"/>
  <c r="D1316"/>
  <c r="D1315"/>
  <c r="D1314"/>
  <c r="D1313"/>
  <c r="D1257"/>
  <c r="D1254"/>
  <c r="D1255" s="1"/>
  <c r="D1253"/>
  <c r="D1252"/>
  <c r="D1249"/>
  <c r="D1251" s="1"/>
  <c r="D1248"/>
  <c r="D1119"/>
  <c r="D1088"/>
  <c r="D725"/>
  <c r="D724"/>
  <c r="D723"/>
  <c r="D722"/>
  <c r="D696"/>
  <c r="D636"/>
  <c r="D617"/>
  <c r="D616"/>
  <c r="D615"/>
  <c r="D614"/>
  <c r="D613"/>
  <c r="D517"/>
  <c r="C299"/>
  <c r="C236" s="1"/>
  <c r="C155" s="1"/>
  <c r="C85" s="1"/>
  <c r="C12" s="1"/>
  <c r="E299"/>
  <c r="E236" s="1"/>
  <c r="E155" s="1"/>
  <c r="E85" s="1"/>
  <c r="E12" s="1"/>
  <c r="F299"/>
  <c r="F236" s="1"/>
  <c r="F155" s="1"/>
  <c r="F85" s="1"/>
  <c r="F12" s="1"/>
  <c r="G299"/>
  <c r="G236" s="1"/>
  <c r="G155" s="1"/>
  <c r="G85" s="1"/>
  <c r="G12" s="1"/>
  <c r="D368"/>
  <c r="D474"/>
  <c r="D423"/>
  <c r="D292"/>
  <c r="D229"/>
  <c r="D148"/>
  <c r="D78"/>
  <c r="D1511"/>
  <c r="D1504"/>
  <c r="G348" i="19"/>
  <c r="G347"/>
  <c r="G346"/>
  <c r="G345"/>
  <c r="G344"/>
  <c r="G343"/>
  <c r="E342"/>
  <c r="G342" s="1"/>
  <c r="C1495" i="2"/>
  <c r="C1497"/>
  <c r="G1497"/>
  <c r="G1496"/>
  <c r="D1495"/>
  <c r="E1495"/>
  <c r="G1495"/>
  <c r="D1494"/>
  <c r="D1493"/>
  <c r="D1492"/>
  <c r="D1491"/>
  <c r="D1488"/>
  <c r="D1485"/>
  <c r="D1478"/>
  <c r="D1477"/>
  <c r="C1471"/>
  <c r="C1472"/>
  <c r="C1473"/>
  <c r="C1474"/>
  <c r="C1475"/>
  <c r="C1476"/>
  <c r="D1476"/>
  <c r="D1475"/>
  <c r="D1474"/>
  <c r="D1473"/>
  <c r="D1472"/>
  <c r="D1471"/>
  <c r="D1470"/>
  <c r="D1467"/>
  <c r="D1466"/>
  <c r="D1465"/>
  <c r="D1464"/>
  <c r="H1512" l="1"/>
  <c r="H1463"/>
  <c r="H308"/>
  <c r="H378" s="1"/>
  <c r="H437" s="1"/>
  <c r="H487" s="1"/>
  <c r="H534" s="1"/>
  <c r="H599" s="1"/>
  <c r="H651" s="1"/>
  <c r="H712" s="1"/>
  <c r="H775" s="1"/>
  <c r="H844" s="1"/>
  <c r="H911" s="1"/>
  <c r="H967" s="1"/>
  <c r="H1036" s="1"/>
  <c r="H1103" s="1"/>
  <c r="H1166" s="1"/>
  <c r="H1234" s="1"/>
  <c r="H1297" s="1"/>
  <c r="H1353" s="1"/>
  <c r="H1409" s="1"/>
  <c r="H1469" s="1"/>
  <c r="H245"/>
  <c r="H164"/>
  <c r="H94"/>
  <c r="H23"/>
  <c r="H88"/>
  <c r="H239"/>
  <c r="H15"/>
  <c r="H158"/>
  <c r="H302"/>
  <c r="H372"/>
  <c r="H433"/>
  <c r="H484"/>
  <c r="H527"/>
  <c r="H594"/>
  <c r="H646"/>
  <c r="H706"/>
  <c r="H769"/>
  <c r="H839"/>
  <c r="H906"/>
  <c r="H962"/>
  <c r="H1031"/>
  <c r="H1098"/>
  <c r="H1160"/>
  <c r="H1229"/>
  <c r="H1292"/>
  <c r="H1348"/>
  <c r="H1404"/>
  <c r="D1256"/>
  <c r="D1250"/>
  <c r="G340" i="19"/>
  <c r="G339"/>
  <c r="G338"/>
  <c r="G337"/>
  <c r="G336"/>
  <c r="G335"/>
  <c r="E334"/>
  <c r="G334" s="1"/>
  <c r="H1450" i="2" s="1"/>
  <c r="G1436"/>
  <c r="D1437"/>
  <c r="D1436"/>
  <c r="E1436"/>
  <c r="G1435"/>
  <c r="G1434"/>
  <c r="D1433"/>
  <c r="E1433"/>
  <c r="G1433"/>
  <c r="D1432"/>
  <c r="D1431"/>
  <c r="D1430"/>
  <c r="D1427"/>
  <c r="D1428" s="1"/>
  <c r="D1425"/>
  <c r="D1422"/>
  <c r="D1421"/>
  <c r="D1420"/>
  <c r="D1419"/>
  <c r="D1418"/>
  <c r="D1417"/>
  <c r="C1411"/>
  <c r="C1412"/>
  <c r="C1413"/>
  <c r="C1414"/>
  <c r="C1415"/>
  <c r="C1416"/>
  <c r="D1416"/>
  <c r="D1415"/>
  <c r="D1414"/>
  <c r="D1413"/>
  <c r="D1412"/>
  <c r="D1411"/>
  <c r="D1410"/>
  <c r="D1407"/>
  <c r="D1406"/>
  <c r="D1405"/>
  <c r="D1394"/>
  <c r="G327" i="19"/>
  <c r="E326"/>
  <c r="G332"/>
  <c r="G331"/>
  <c r="G330"/>
  <c r="G329"/>
  <c r="G328"/>
  <c r="G326"/>
  <c r="D1384" i="2"/>
  <c r="D1386" s="1"/>
  <c r="C1375"/>
  <c r="C1377"/>
  <c r="D1377"/>
  <c r="E1377"/>
  <c r="G1377"/>
  <c r="G1376"/>
  <c r="D1374"/>
  <c r="D1373"/>
  <c r="D1375"/>
  <c r="E1375"/>
  <c r="G1375"/>
  <c r="D1372"/>
  <c r="D1371"/>
  <c r="D1370"/>
  <c r="D1369"/>
  <c r="D1366"/>
  <c r="D1365"/>
  <c r="D1364"/>
  <c r="D1363"/>
  <c r="D1362"/>
  <c r="D1361"/>
  <c r="C1355"/>
  <c r="C1356"/>
  <c r="C1357"/>
  <c r="C1358"/>
  <c r="C1359"/>
  <c r="C1360"/>
  <c r="D1360"/>
  <c r="D1359"/>
  <c r="D1358"/>
  <c r="D1357"/>
  <c r="D1356"/>
  <c r="D1355"/>
  <c r="D1354"/>
  <c r="D1351"/>
  <c r="D1350"/>
  <c r="D1349"/>
  <c r="D1338"/>
  <c r="G319" i="19"/>
  <c r="E318"/>
  <c r="G324"/>
  <c r="G323"/>
  <c r="G322"/>
  <c r="G321"/>
  <c r="G320"/>
  <c r="G318"/>
  <c r="D1322" i="2"/>
  <c r="C1321"/>
  <c r="D1321"/>
  <c r="E1321"/>
  <c r="G1321"/>
  <c r="C1320"/>
  <c r="G1320"/>
  <c r="G1319"/>
  <c r="C1318"/>
  <c r="D1318"/>
  <c r="E1318"/>
  <c r="G1318"/>
  <c r="D1311"/>
  <c r="D1308"/>
  <c r="D1307"/>
  <c r="D1306"/>
  <c r="D1305"/>
  <c r="D1304"/>
  <c r="D1303"/>
  <c r="C1299"/>
  <c r="C1300"/>
  <c r="C1301"/>
  <c r="C1302"/>
  <c r="D1302"/>
  <c r="D1301"/>
  <c r="D1300"/>
  <c r="D1299"/>
  <c r="D1298"/>
  <c r="D1295"/>
  <c r="D1294"/>
  <c r="D1293"/>
  <c r="D1282"/>
  <c r="G311" i="19"/>
  <c r="E310"/>
  <c r="G310" s="1"/>
  <c r="G316"/>
  <c r="G315"/>
  <c r="G314"/>
  <c r="G313"/>
  <c r="G312"/>
  <c r="G1260" i="2"/>
  <c r="G1259"/>
  <c r="D1273"/>
  <c r="D1275" s="1"/>
  <c r="D1263"/>
  <c r="G1262"/>
  <c r="C1261"/>
  <c r="C1262"/>
  <c r="D1262"/>
  <c r="E1262"/>
  <c r="G1261"/>
  <c r="C1258"/>
  <c r="D1258"/>
  <c r="G1258"/>
  <c r="D1245"/>
  <c r="D1244"/>
  <c r="D1243"/>
  <c r="D1242"/>
  <c r="D1241"/>
  <c r="D1240"/>
  <c r="C1236"/>
  <c r="C1237"/>
  <c r="C1238"/>
  <c r="C1239"/>
  <c r="D1239"/>
  <c r="D1238"/>
  <c r="D1237"/>
  <c r="D1236"/>
  <c r="D1235"/>
  <c r="D1232"/>
  <c r="D1231"/>
  <c r="D1230"/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D1219" i="2"/>
  <c r="G303" i="19"/>
  <c r="E302"/>
  <c r="G302" s="1"/>
  <c r="G308"/>
  <c r="G307"/>
  <c r="G306"/>
  <c r="G305"/>
  <c r="G304"/>
  <c r="C1214" i="2"/>
  <c r="C1215"/>
  <c r="D1215"/>
  <c r="D1214"/>
  <c r="D1209"/>
  <c r="D1211" s="1"/>
  <c r="G1197"/>
  <c r="D1197"/>
  <c r="E1197"/>
  <c r="C1197"/>
  <c r="G1196"/>
  <c r="E1196"/>
  <c r="C1196"/>
  <c r="D1196"/>
  <c r="G1195"/>
  <c r="G1194"/>
  <c r="E1192"/>
  <c r="C1192"/>
  <c r="G1193"/>
  <c r="D1192"/>
  <c r="G1192"/>
  <c r="D1190"/>
  <c r="D1189"/>
  <c r="D1188"/>
  <c r="D1185"/>
  <c r="D1187" s="1"/>
  <c r="D1183"/>
  <c r="D1182"/>
  <c r="D1179"/>
  <c r="D1178"/>
  <c r="D1177"/>
  <c r="D1176"/>
  <c r="D1175"/>
  <c r="D1174"/>
  <c r="D1173"/>
  <c r="D1172"/>
  <c r="D1171"/>
  <c r="D1170"/>
  <c r="D1169"/>
  <c r="D1168"/>
  <c r="D1167"/>
  <c r="D1164"/>
  <c r="D1163"/>
  <c r="D1162"/>
  <c r="D1161"/>
  <c r="D1150"/>
  <c r="G300" i="19"/>
  <c r="G299"/>
  <c r="G298"/>
  <c r="G297"/>
  <c r="G296"/>
  <c r="G295"/>
  <c r="E294"/>
  <c r="G294" s="1"/>
  <c r="D1134" i="2"/>
  <c r="G1133"/>
  <c r="E1133"/>
  <c r="C1133"/>
  <c r="D1133"/>
  <c r="C1132"/>
  <c r="G1132"/>
  <c r="G1131"/>
  <c r="G1130"/>
  <c r="G1129"/>
  <c r="E1129"/>
  <c r="C1129"/>
  <c r="D1129"/>
  <c r="D1128"/>
  <c r="D1127"/>
  <c r="D1126"/>
  <c r="D1125"/>
  <c r="D1122"/>
  <c r="D1123" s="1"/>
  <c r="D1121"/>
  <c r="D1116"/>
  <c r="D1115"/>
  <c r="D1114"/>
  <c r="D1113"/>
  <c r="D1112"/>
  <c r="D1111"/>
  <c r="C1105"/>
  <c r="C1106"/>
  <c r="C1107"/>
  <c r="C1108"/>
  <c r="C1109"/>
  <c r="C1110"/>
  <c r="D1110"/>
  <c r="D1109"/>
  <c r="D1108"/>
  <c r="D1107"/>
  <c r="D1106"/>
  <c r="D1105"/>
  <c r="D1104"/>
  <c r="D1101"/>
  <c r="D1100"/>
  <c r="D1099"/>
  <c r="E286" i="19"/>
  <c r="G286" s="1"/>
  <c r="G292"/>
  <c r="G291"/>
  <c r="G290"/>
  <c r="G289"/>
  <c r="G288"/>
  <c r="G287"/>
  <c r="D1069" i="2"/>
  <c r="G1068"/>
  <c r="E1068"/>
  <c r="C1068"/>
  <c r="D1068"/>
  <c r="G1067"/>
  <c r="G1066"/>
  <c r="G1065"/>
  <c r="E1065"/>
  <c r="C1065"/>
  <c r="D1065"/>
  <c r="D1064"/>
  <c r="D1063"/>
  <c r="D1062"/>
  <c r="D1061"/>
  <c r="D1060"/>
  <c r="D1057"/>
  <c r="D1058" s="1"/>
  <c r="D1056"/>
  <c r="D1055"/>
  <c r="D1052"/>
  <c r="D1051"/>
  <c r="C1050"/>
  <c r="D1050"/>
  <c r="D1049"/>
  <c r="D1048"/>
  <c r="D1047"/>
  <c r="C1046"/>
  <c r="D1046"/>
  <c r="E127" i="19"/>
  <c r="G127" s="1"/>
  <c r="H1046" i="2" s="1"/>
  <c r="C1045"/>
  <c r="D1045"/>
  <c r="C1044"/>
  <c r="D1044"/>
  <c r="C1043"/>
  <c r="D1043"/>
  <c r="C1042"/>
  <c r="D1042"/>
  <c r="C1041"/>
  <c r="D1041"/>
  <c r="E51" i="19"/>
  <c r="G51" s="1"/>
  <c r="I51" s="1"/>
  <c r="C1040" i="2"/>
  <c r="D1040"/>
  <c r="C1039"/>
  <c r="D1039"/>
  <c r="C1038"/>
  <c r="D1038"/>
  <c r="D1037"/>
  <c r="D1034"/>
  <c r="D1033"/>
  <c r="D1032"/>
  <c r="D1021"/>
  <c r="G284" i="19"/>
  <c r="G283"/>
  <c r="G282"/>
  <c r="G281"/>
  <c r="G280"/>
  <c r="G279"/>
  <c r="E278"/>
  <c r="G278" s="1"/>
  <c r="D1017" i="2"/>
  <c r="D1016"/>
  <c r="D999"/>
  <c r="G998"/>
  <c r="C997"/>
  <c r="G997"/>
  <c r="G996"/>
  <c r="G995"/>
  <c r="G994"/>
  <c r="E994"/>
  <c r="C994"/>
  <c r="D994"/>
  <c r="D993"/>
  <c r="D992"/>
  <c r="D991"/>
  <c r="D990"/>
  <c r="D987"/>
  <c r="D989" s="1"/>
  <c r="D985"/>
  <c r="D983"/>
  <c r="D980"/>
  <c r="D979"/>
  <c r="D978"/>
  <c r="D977"/>
  <c r="D976"/>
  <c r="D975"/>
  <c r="C972"/>
  <c r="C973"/>
  <c r="C974"/>
  <c r="D974"/>
  <c r="D973"/>
  <c r="D972"/>
  <c r="C971"/>
  <c r="C970"/>
  <c r="C969"/>
  <c r="D971"/>
  <c r="D970"/>
  <c r="D969"/>
  <c r="D968"/>
  <c r="D965"/>
  <c r="D964"/>
  <c r="D963"/>
  <c r="D952"/>
  <c r="E270" i="19"/>
  <c r="G270" s="1"/>
  <c r="G271"/>
  <c r="G276"/>
  <c r="G275"/>
  <c r="G274"/>
  <c r="G273"/>
  <c r="G272"/>
  <c r="D948" i="2"/>
  <c r="D936"/>
  <c r="G934"/>
  <c r="G933"/>
  <c r="D931"/>
  <c r="E933"/>
  <c r="C933"/>
  <c r="D933"/>
  <c r="D929"/>
  <c r="D927"/>
  <c r="D924"/>
  <c r="D923"/>
  <c r="D922"/>
  <c r="D921"/>
  <c r="D920"/>
  <c r="D919"/>
  <c r="C918"/>
  <c r="D918"/>
  <c r="C917"/>
  <c r="D917"/>
  <c r="C916"/>
  <c r="D916"/>
  <c r="C915"/>
  <c r="D915"/>
  <c r="C914"/>
  <c r="D914"/>
  <c r="C913"/>
  <c r="D913"/>
  <c r="D912"/>
  <c r="D909"/>
  <c r="D908"/>
  <c r="D907"/>
  <c r="C825"/>
  <c r="D825"/>
  <c r="D896"/>
  <c r="G263" i="19"/>
  <c r="E262"/>
  <c r="G262" s="1"/>
  <c r="G268"/>
  <c r="G267"/>
  <c r="G266"/>
  <c r="G265"/>
  <c r="G264"/>
  <c r="G260"/>
  <c r="G259"/>
  <c r="G258"/>
  <c r="G257"/>
  <c r="G256"/>
  <c r="G255"/>
  <c r="E254"/>
  <c r="G254" s="1"/>
  <c r="C891" i="2"/>
  <c r="D892"/>
  <c r="D891"/>
  <c r="D886"/>
  <c r="D888" s="1"/>
  <c r="G880"/>
  <c r="G879"/>
  <c r="C879"/>
  <c r="G878"/>
  <c r="G877"/>
  <c r="G876"/>
  <c r="E876"/>
  <c r="C876"/>
  <c r="D876"/>
  <c r="D875"/>
  <c r="D874"/>
  <c r="D871"/>
  <c r="D873" s="1"/>
  <c r="D868"/>
  <c r="D869" s="1"/>
  <c r="D865"/>
  <c r="D866" s="1"/>
  <c r="D861"/>
  <c r="D860"/>
  <c r="D857"/>
  <c r="D856"/>
  <c r="D855"/>
  <c r="D854"/>
  <c r="D853"/>
  <c r="D852"/>
  <c r="C851"/>
  <c r="D851"/>
  <c r="C850"/>
  <c r="D850"/>
  <c r="C849"/>
  <c r="D849"/>
  <c r="C848"/>
  <c r="D848"/>
  <c r="C847"/>
  <c r="D847"/>
  <c r="D845"/>
  <c r="C846"/>
  <c r="D846"/>
  <c r="H1018" l="1"/>
  <c r="H893"/>
  <c r="H1391"/>
  <c r="H1335"/>
  <c r="D1429"/>
  <c r="H1279"/>
  <c r="D1387"/>
  <c r="D1385"/>
  <c r="D1276"/>
  <c r="D1274"/>
  <c r="H1216"/>
  <c r="D1212"/>
  <c r="D1210"/>
  <c r="H1147"/>
  <c r="D1186"/>
  <c r="H1085"/>
  <c r="D1124"/>
  <c r="H1041"/>
  <c r="D1059"/>
  <c r="J51" i="19"/>
  <c r="J50" s="1"/>
  <c r="I1041" i="2" s="1"/>
  <c r="H949"/>
  <c r="D988"/>
  <c r="H826"/>
  <c r="D889"/>
  <c r="D887"/>
  <c r="D870"/>
  <c r="D867"/>
  <c r="D872"/>
  <c r="D842"/>
  <c r="D841"/>
  <c r="D840"/>
  <c r="D829"/>
  <c r="D817"/>
  <c r="D806"/>
  <c r="G805"/>
  <c r="G804"/>
  <c r="G803"/>
  <c r="G802"/>
  <c r="E802"/>
  <c r="D802"/>
  <c r="C802"/>
  <c r="D801"/>
  <c r="D800"/>
  <c r="D799"/>
  <c r="D794"/>
  <c r="D795" s="1"/>
  <c r="D793"/>
  <c r="D791"/>
  <c r="D788"/>
  <c r="D787"/>
  <c r="D786"/>
  <c r="D785"/>
  <c r="D784"/>
  <c r="D783"/>
  <c r="D782"/>
  <c r="C782"/>
  <c r="D781"/>
  <c r="C781"/>
  <c r="D780"/>
  <c r="C780"/>
  <c r="D779"/>
  <c r="C779"/>
  <c r="D778"/>
  <c r="C778"/>
  <c r="D777"/>
  <c r="C777"/>
  <c r="D776"/>
  <c r="D771"/>
  <c r="D770"/>
  <c r="D766"/>
  <c r="E766"/>
  <c r="C766"/>
  <c r="C765"/>
  <c r="D759"/>
  <c r="E246" i="19"/>
  <c r="G246" s="1"/>
  <c r="G252"/>
  <c r="G251"/>
  <c r="G250"/>
  <c r="G249"/>
  <c r="G248"/>
  <c r="G247"/>
  <c r="D749" i="2"/>
  <c r="D751" s="1"/>
  <c r="D743"/>
  <c r="D742"/>
  <c r="E742"/>
  <c r="C742"/>
  <c r="G742"/>
  <c r="G741"/>
  <c r="C741"/>
  <c r="G740"/>
  <c r="G739"/>
  <c r="G738"/>
  <c r="D738"/>
  <c r="E738"/>
  <c r="C738"/>
  <c r="D737"/>
  <c r="D736"/>
  <c r="D731"/>
  <c r="D733" s="1"/>
  <c r="D729"/>
  <c r="D728"/>
  <c r="D721"/>
  <c r="D720"/>
  <c r="C715"/>
  <c r="C716"/>
  <c r="C717"/>
  <c r="C718"/>
  <c r="C719"/>
  <c r="D716"/>
  <c r="D717"/>
  <c r="D718"/>
  <c r="D719"/>
  <c r="D715"/>
  <c r="C714"/>
  <c r="D714"/>
  <c r="D713"/>
  <c r="D709"/>
  <c r="D710"/>
  <c r="D708"/>
  <c r="D707"/>
  <c r="G239" i="19"/>
  <c r="G244"/>
  <c r="G243"/>
  <c r="G242"/>
  <c r="G241"/>
  <c r="G240"/>
  <c r="E238"/>
  <c r="G238" s="1"/>
  <c r="G679" i="2"/>
  <c r="E679"/>
  <c r="C679"/>
  <c r="D679"/>
  <c r="G678"/>
  <c r="C678"/>
  <c r="G677"/>
  <c r="G676"/>
  <c r="E676"/>
  <c r="C676"/>
  <c r="D676"/>
  <c r="D675"/>
  <c r="D674"/>
  <c r="D672"/>
  <c r="D673" s="1"/>
  <c r="D671"/>
  <c r="D668"/>
  <c r="D669" s="1"/>
  <c r="D667"/>
  <c r="D665"/>
  <c r="D662"/>
  <c r="D661"/>
  <c r="D660"/>
  <c r="D659"/>
  <c r="D658"/>
  <c r="D657"/>
  <c r="C653"/>
  <c r="C654"/>
  <c r="C655"/>
  <c r="C656"/>
  <c r="D656"/>
  <c r="D655"/>
  <c r="D654"/>
  <c r="D653"/>
  <c r="D652"/>
  <c r="D649"/>
  <c r="D648"/>
  <c r="D647"/>
  <c r="E221" i="19"/>
  <c r="G221" s="1"/>
  <c r="G227"/>
  <c r="G226"/>
  <c r="G225"/>
  <c r="G224"/>
  <c r="G223"/>
  <c r="G222"/>
  <c r="G620" i="2"/>
  <c r="D620"/>
  <c r="E620"/>
  <c r="C620"/>
  <c r="G619"/>
  <c r="G618"/>
  <c r="E618"/>
  <c r="C618"/>
  <c r="D618"/>
  <c r="D610"/>
  <c r="D609"/>
  <c r="D608"/>
  <c r="D607"/>
  <c r="D606"/>
  <c r="D605"/>
  <c r="C601"/>
  <c r="C602"/>
  <c r="C603"/>
  <c r="C604"/>
  <c r="D604"/>
  <c r="D603"/>
  <c r="D602"/>
  <c r="D601"/>
  <c r="D600"/>
  <c r="D597"/>
  <c r="D596"/>
  <c r="D595"/>
  <c r="D584"/>
  <c r="E209" i="19"/>
  <c r="G209" s="1"/>
  <c r="G210"/>
  <c r="G215"/>
  <c r="G214"/>
  <c r="G213"/>
  <c r="G212"/>
  <c r="G211"/>
  <c r="D575" i="2"/>
  <c r="D577" s="1"/>
  <c r="D565"/>
  <c r="G563"/>
  <c r="G562"/>
  <c r="D560"/>
  <c r="C560"/>
  <c r="G561"/>
  <c r="D561"/>
  <c r="E561"/>
  <c r="C561"/>
  <c r="G560"/>
  <c r="D559"/>
  <c r="D558"/>
  <c r="D557"/>
  <c r="D554"/>
  <c r="D555" s="1"/>
  <c r="D552"/>
  <c r="D551"/>
  <c r="D548"/>
  <c r="D547"/>
  <c r="D546"/>
  <c r="D545"/>
  <c r="C537"/>
  <c r="C538"/>
  <c r="C539"/>
  <c r="C540"/>
  <c r="C541"/>
  <c r="C542"/>
  <c r="D543"/>
  <c r="D544"/>
  <c r="D542"/>
  <c r="D541"/>
  <c r="D540"/>
  <c r="D539"/>
  <c r="D538"/>
  <c r="D537"/>
  <c r="C536"/>
  <c r="D536"/>
  <c r="D535"/>
  <c r="C533"/>
  <c r="D533"/>
  <c r="D530"/>
  <c r="D529"/>
  <c r="D528"/>
  <c r="E523"/>
  <c r="E590" s="1"/>
  <c r="F523"/>
  <c r="F590" s="1"/>
  <c r="G523"/>
  <c r="G590" s="1"/>
  <c r="E524"/>
  <c r="E591" s="1"/>
  <c r="F524"/>
  <c r="F591" s="1"/>
  <c r="G524"/>
  <c r="G591" s="1"/>
  <c r="G207" i="19"/>
  <c r="G206"/>
  <c r="G205"/>
  <c r="G204"/>
  <c r="G203"/>
  <c r="G202"/>
  <c r="G201"/>
  <c r="G512" i="2"/>
  <c r="C835" l="1"/>
  <c r="C902"/>
  <c r="C958" s="1"/>
  <c r="C1027" s="1"/>
  <c r="C1094" s="1"/>
  <c r="E836"/>
  <c r="E903"/>
  <c r="E959" s="1"/>
  <c r="E1028" s="1"/>
  <c r="E1095" s="1"/>
  <c r="C836"/>
  <c r="C903"/>
  <c r="C959" s="1"/>
  <c r="C1028" s="1"/>
  <c r="C1095" s="1"/>
  <c r="D836"/>
  <c r="D903"/>
  <c r="D959" s="1"/>
  <c r="D1028" s="1"/>
  <c r="D1095" s="1"/>
  <c r="H756"/>
  <c r="D796"/>
  <c r="D752"/>
  <c r="D750"/>
  <c r="H693"/>
  <c r="D732"/>
  <c r="H633"/>
  <c r="D670"/>
  <c r="H581"/>
  <c r="F643"/>
  <c r="F703" s="1"/>
  <c r="F766" s="1"/>
  <c r="F642"/>
  <c r="F702" s="1"/>
  <c r="F765" s="1"/>
  <c r="G643"/>
  <c r="G703" s="1"/>
  <c r="G766" s="1"/>
  <c r="E643"/>
  <c r="E703" s="1"/>
  <c r="G642"/>
  <c r="G702" s="1"/>
  <c r="G765" s="1"/>
  <c r="E642"/>
  <c r="E702" s="1"/>
  <c r="E765" s="1"/>
  <c r="H514"/>
  <c r="D578"/>
  <c r="D576"/>
  <c r="D556"/>
  <c r="G507"/>
  <c r="D507"/>
  <c r="E507"/>
  <c r="C507"/>
  <c r="G506"/>
  <c r="D505"/>
  <c r="E505"/>
  <c r="C505"/>
  <c r="G505"/>
  <c r="D504"/>
  <c r="D503"/>
  <c r="D500"/>
  <c r="D499"/>
  <c r="D498"/>
  <c r="D497"/>
  <c r="D496"/>
  <c r="D495"/>
  <c r="C490"/>
  <c r="C491"/>
  <c r="C492"/>
  <c r="C493"/>
  <c r="C494"/>
  <c r="D494"/>
  <c r="D493"/>
  <c r="D492"/>
  <c r="D491"/>
  <c r="D490"/>
  <c r="C489"/>
  <c r="D489"/>
  <c r="D488"/>
  <c r="D485"/>
  <c r="G407"/>
  <c r="G406"/>
  <c r="G405"/>
  <c r="G404"/>
  <c r="H481"/>
  <c r="D1157" l="1"/>
  <c r="D1226"/>
  <c r="D1289" s="1"/>
  <c r="D1345" s="1"/>
  <c r="D1401" s="1"/>
  <c r="D1460" s="1"/>
  <c r="C1157"/>
  <c r="C1226"/>
  <c r="C1289" s="1"/>
  <c r="C1345" s="1"/>
  <c r="C1401" s="1"/>
  <c r="C1460" s="1"/>
  <c r="E1157"/>
  <c r="E1226"/>
  <c r="E1289" s="1"/>
  <c r="E1345" s="1"/>
  <c r="E1401" s="1"/>
  <c r="E1460" s="1"/>
  <c r="C1156"/>
  <c r="C1225"/>
  <c r="C1288" s="1"/>
  <c r="C1344" s="1"/>
  <c r="C1400" s="1"/>
  <c r="C1459" s="1"/>
  <c r="E835"/>
  <c r="E902"/>
  <c r="E958" s="1"/>
  <c r="E1027" s="1"/>
  <c r="E1094" s="1"/>
  <c r="F835"/>
  <c r="F902"/>
  <c r="F958" s="1"/>
  <c r="F1027" s="1"/>
  <c r="F1094" s="1"/>
  <c r="G835"/>
  <c r="G902"/>
  <c r="G958" s="1"/>
  <c r="G1027" s="1"/>
  <c r="G1094" s="1"/>
  <c r="G836"/>
  <c r="G903"/>
  <c r="G959" s="1"/>
  <c r="G1028" s="1"/>
  <c r="G1095" s="1"/>
  <c r="F836"/>
  <c r="F903"/>
  <c r="F959" s="1"/>
  <c r="F1028" s="1"/>
  <c r="F1095" s="1"/>
  <c r="H524"/>
  <c r="I481"/>
  <c r="I524" s="1"/>
  <c r="G194" i="19"/>
  <c r="E193"/>
  <c r="G193" s="1"/>
  <c r="G199"/>
  <c r="G198"/>
  <c r="G197"/>
  <c r="G196"/>
  <c r="G195"/>
  <c r="D460" i="2"/>
  <c r="E460"/>
  <c r="C460"/>
  <c r="G459"/>
  <c r="G458"/>
  <c r="D458"/>
  <c r="E458"/>
  <c r="C458"/>
  <c r="D457"/>
  <c r="G1157" l="1"/>
  <c r="G1226"/>
  <c r="G1289" s="1"/>
  <c r="G1345" s="1"/>
  <c r="G1401" s="1"/>
  <c r="G1460" s="1"/>
  <c r="F1156"/>
  <c r="F1225"/>
  <c r="F1288" s="1"/>
  <c r="F1344" s="1"/>
  <c r="F1400" s="1"/>
  <c r="F1459" s="1"/>
  <c r="F1157"/>
  <c r="F1226"/>
  <c r="F1289" s="1"/>
  <c r="F1345" s="1"/>
  <c r="F1401" s="1"/>
  <c r="F1460" s="1"/>
  <c r="G1156"/>
  <c r="G1225"/>
  <c r="G1288" s="1"/>
  <c r="G1344" s="1"/>
  <c r="G1400" s="1"/>
  <c r="G1459" s="1"/>
  <c r="E1156"/>
  <c r="E1225"/>
  <c r="E1288" s="1"/>
  <c r="E1344" s="1"/>
  <c r="E1400" s="1"/>
  <c r="E1459" s="1"/>
  <c r="H591"/>
  <c r="H643"/>
  <c r="H703" s="1"/>
  <c r="H766" s="1"/>
  <c r="I591"/>
  <c r="I643"/>
  <c r="I703" s="1"/>
  <c r="I766" s="1"/>
  <c r="H471"/>
  <c r="D439"/>
  <c r="D441" s="1"/>
  <c r="D438"/>
  <c r="I836" l="1"/>
  <c r="I903"/>
  <c r="I959" s="1"/>
  <c r="I1028" s="1"/>
  <c r="I1095" s="1"/>
  <c r="H836"/>
  <c r="H903"/>
  <c r="H959" s="1"/>
  <c r="H1028" s="1"/>
  <c r="H1095" s="1"/>
  <c r="D444"/>
  <c r="D442"/>
  <c r="D440"/>
  <c r="D443"/>
  <c r="D434"/>
  <c r="D435" s="1"/>
  <c r="H430"/>
  <c r="G185" i="19"/>
  <c r="G190"/>
  <c r="G189"/>
  <c r="G188"/>
  <c r="G187"/>
  <c r="G186"/>
  <c r="G184"/>
  <c r="D408" i="2"/>
  <c r="C406"/>
  <c r="D404"/>
  <c r="E404"/>
  <c r="C404"/>
  <c r="D403"/>
  <c r="D402"/>
  <c r="D400"/>
  <c r="D397"/>
  <c r="D394"/>
  <c r="D453" s="1"/>
  <c r="D391"/>
  <c r="D450" s="1"/>
  <c r="D390"/>
  <c r="D449" s="1"/>
  <c r="C389"/>
  <c r="D389"/>
  <c r="D448" s="1"/>
  <c r="D388"/>
  <c r="D447" s="1"/>
  <c r="D387"/>
  <c r="D446" s="1"/>
  <c r="D386"/>
  <c r="D385"/>
  <c r="C385"/>
  <c r="D384"/>
  <c r="C384"/>
  <c r="D383"/>
  <c r="C383"/>
  <c r="D382"/>
  <c r="C382"/>
  <c r="D380"/>
  <c r="D381"/>
  <c r="C381"/>
  <c r="C380"/>
  <c r="D376"/>
  <c r="D375"/>
  <c r="D374"/>
  <c r="D373"/>
  <c r="D362"/>
  <c r="D359"/>
  <c r="E176" i="19"/>
  <c r="G176" s="1"/>
  <c r="G182"/>
  <c r="G181"/>
  <c r="G180"/>
  <c r="G179"/>
  <c r="G178"/>
  <c r="G177"/>
  <c r="D340" i="2"/>
  <c r="D332"/>
  <c r="D328"/>
  <c r="D326"/>
  <c r="D324"/>
  <c r="C142" i="19"/>
  <c r="C338" i="2"/>
  <c r="G338"/>
  <c r="G337"/>
  <c r="G336"/>
  <c r="G335"/>
  <c r="D335"/>
  <c r="E335"/>
  <c r="C335"/>
  <c r="D321"/>
  <c r="D320"/>
  <c r="D319"/>
  <c r="D318"/>
  <c r="D317"/>
  <c r="D316"/>
  <c r="D315"/>
  <c r="D314"/>
  <c r="D313"/>
  <c r="D312"/>
  <c r="D311"/>
  <c r="D310"/>
  <c r="D309"/>
  <c r="D306"/>
  <c r="D305"/>
  <c r="D304"/>
  <c r="D303"/>
  <c r="D273"/>
  <c r="E273"/>
  <c r="C273"/>
  <c r="C288"/>
  <c r="D288"/>
  <c r="D283"/>
  <c r="E270"/>
  <c r="D270"/>
  <c r="D269"/>
  <c r="D267"/>
  <c r="D263"/>
  <c r="D262"/>
  <c r="D261"/>
  <c r="D258"/>
  <c r="D257"/>
  <c r="D256"/>
  <c r="D255"/>
  <c r="D254"/>
  <c r="D253"/>
  <c r="D252"/>
  <c r="D251"/>
  <c r="D250"/>
  <c r="D249"/>
  <c r="D248"/>
  <c r="D247"/>
  <c r="D246"/>
  <c r="D244"/>
  <c r="D243"/>
  <c r="D242"/>
  <c r="D241"/>
  <c r="D240"/>
  <c r="D235"/>
  <c r="G169" i="19"/>
  <c r="E168"/>
  <c r="G168" s="1"/>
  <c r="G174"/>
  <c r="G173"/>
  <c r="G172"/>
  <c r="G171"/>
  <c r="G170"/>
  <c r="E147"/>
  <c r="E156"/>
  <c r="G156" s="1"/>
  <c r="G162"/>
  <c r="G161"/>
  <c r="G160"/>
  <c r="G159"/>
  <c r="G158"/>
  <c r="G157"/>
  <c r="D298" i="2"/>
  <c r="G273"/>
  <c r="G272"/>
  <c r="G271"/>
  <c r="G270"/>
  <c r="D194"/>
  <c r="D193"/>
  <c r="D192"/>
  <c r="D191"/>
  <c r="D190"/>
  <c r="D189"/>
  <c r="D188"/>
  <c r="D187"/>
  <c r="D186"/>
  <c r="D185"/>
  <c r="D181"/>
  <c r="D180"/>
  <c r="D177"/>
  <c r="D176"/>
  <c r="D175"/>
  <c r="D174"/>
  <c r="D173"/>
  <c r="D172"/>
  <c r="D171"/>
  <c r="D170"/>
  <c r="D169"/>
  <c r="D168"/>
  <c r="D167"/>
  <c r="D166"/>
  <c r="D165"/>
  <c r="D162"/>
  <c r="D161"/>
  <c r="D160"/>
  <c r="D159"/>
  <c r="G196"/>
  <c r="G195"/>
  <c r="H359" l="1"/>
  <c r="H226"/>
  <c r="I430"/>
  <c r="I299" s="1"/>
  <c r="I236" s="1"/>
  <c r="I155" s="1"/>
  <c r="I85" s="1"/>
  <c r="I12" s="1"/>
  <c r="H299"/>
  <c r="H236" s="1"/>
  <c r="H155" s="1"/>
  <c r="H85" s="1"/>
  <c r="H12" s="1"/>
  <c r="E1435"/>
  <c r="E1497"/>
  <c r="E1261"/>
  <c r="E1320"/>
  <c r="H1157"/>
  <c r="H1226"/>
  <c r="H1289" s="1"/>
  <c r="H1345" s="1"/>
  <c r="H1401" s="1"/>
  <c r="H1460" s="1"/>
  <c r="I1157"/>
  <c r="I1226"/>
  <c r="I1289" s="1"/>
  <c r="I1345" s="1"/>
  <c r="I1401" s="1"/>
  <c r="I1460" s="1"/>
  <c r="E997"/>
  <c r="E1132"/>
  <c r="E741"/>
  <c r="E879"/>
  <c r="E338"/>
  <c r="E678"/>
  <c r="H420"/>
  <c r="D454"/>
  <c r="D456"/>
  <c r="D455"/>
  <c r="D436"/>
  <c r="E406"/>
  <c r="H289"/>
  <c r="G199"/>
  <c r="G198"/>
  <c r="G197"/>
  <c r="E195"/>
  <c r="H195" s="1"/>
  <c r="D195"/>
  <c r="G153" i="19" l="1"/>
  <c r="G152"/>
  <c r="G151"/>
  <c r="G150"/>
  <c r="G149"/>
  <c r="G148"/>
  <c r="G147"/>
  <c r="D144" i="2"/>
  <c r="C124" l="1"/>
  <c r="D124"/>
  <c r="D123"/>
  <c r="D122"/>
  <c r="D119"/>
  <c r="D115"/>
  <c r="D114"/>
  <c r="D107"/>
  <c r="D106"/>
  <c r="D105"/>
  <c r="D104"/>
  <c r="D103"/>
  <c r="D102"/>
  <c r="D98"/>
  <c r="D99"/>
  <c r="D100"/>
  <c r="D101"/>
  <c r="D97"/>
  <c r="D96"/>
  <c r="D95"/>
  <c r="D92"/>
  <c r="D91"/>
  <c r="D90"/>
  <c r="D89"/>
  <c r="G48" l="1"/>
  <c r="G47"/>
  <c r="D52"/>
  <c r="D46"/>
  <c r="D45"/>
  <c r="D41"/>
  <c r="D39"/>
  <c r="C29"/>
  <c r="C28"/>
  <c r="C27"/>
  <c r="C26"/>
  <c r="C25"/>
  <c r="D25"/>
  <c r="C24"/>
  <c r="C20"/>
  <c r="G125" l="1"/>
  <c r="G124"/>
  <c r="E125" i="19" l="1"/>
  <c r="E123"/>
  <c r="G123" s="1"/>
  <c r="D84" i="2"/>
  <c r="D36"/>
  <c r="D35"/>
  <c r="D34"/>
  <c r="D33"/>
  <c r="D32"/>
  <c r="D30"/>
  <c r="D29"/>
  <c r="D28"/>
  <c r="D27"/>
  <c r="D26"/>
  <c r="D24"/>
  <c r="D22"/>
  <c r="D21"/>
  <c r="D20"/>
  <c r="D19"/>
  <c r="D18"/>
  <c r="D17"/>
  <c r="D16"/>
  <c r="D11"/>
  <c r="E57" i="19"/>
  <c r="G57" s="1"/>
  <c r="H29" i="2" s="1"/>
  <c r="E55" i="19"/>
  <c r="G55" s="1"/>
  <c r="H28" i="2" s="1"/>
  <c r="E53" i="19"/>
  <c r="H1416" i="2" l="1"/>
  <c r="H1476"/>
  <c r="H1108"/>
  <c r="H1474"/>
  <c r="H1302"/>
  <c r="H1360"/>
  <c r="H1173"/>
  <c r="H1238"/>
  <c r="H1044"/>
  <c r="H1110"/>
  <c r="H918"/>
  <c r="H974"/>
  <c r="H916"/>
  <c r="H972"/>
  <c r="H719"/>
  <c r="H850"/>
  <c r="H782"/>
  <c r="H541"/>
  <c r="H604"/>
  <c r="H443"/>
  <c r="H493"/>
  <c r="H252"/>
  <c r="H385"/>
  <c r="H315"/>
  <c r="H169"/>
  <c r="H250"/>
  <c r="H101"/>
  <c r="H171"/>
  <c r="G49" i="19"/>
  <c r="H26" i="2" s="1"/>
  <c r="E47" i="19"/>
  <c r="G47" s="1"/>
  <c r="H1413" i="2" l="1"/>
  <c r="H1473"/>
  <c r="H1412"/>
  <c r="H1472"/>
  <c r="H1300"/>
  <c r="H1356"/>
  <c r="H1170"/>
  <c r="H1357"/>
  <c r="H1169"/>
  <c r="H1237"/>
  <c r="H1040"/>
  <c r="H1107"/>
  <c r="H1039"/>
  <c r="H1106"/>
  <c r="H915"/>
  <c r="H971"/>
  <c r="H914"/>
  <c r="H970"/>
  <c r="H716"/>
  <c r="H848"/>
  <c r="H779"/>
  <c r="H715"/>
  <c r="H847"/>
  <c r="H778"/>
  <c r="H538"/>
  <c r="H654"/>
  <c r="H537"/>
  <c r="H602"/>
  <c r="H440"/>
  <c r="H490"/>
  <c r="H441"/>
  <c r="H491"/>
  <c r="H311"/>
  <c r="H381"/>
  <c r="H249"/>
  <c r="H382"/>
  <c r="H312"/>
  <c r="H167"/>
  <c r="H248"/>
  <c r="H98"/>
  <c r="H168"/>
  <c r="H25"/>
  <c r="H97"/>
  <c r="E45" i="19"/>
  <c r="G38" l="1"/>
  <c r="G37"/>
  <c r="G114"/>
  <c r="G113"/>
  <c r="G112"/>
  <c r="G111"/>
  <c r="G110"/>
  <c r="G109"/>
  <c r="E48" i="2" l="1"/>
  <c r="G72" i="19"/>
  <c r="G33"/>
  <c r="A6"/>
  <c r="N8" i="17" l="1"/>
  <c r="O8"/>
  <c r="I15" i="20"/>
  <c r="I9"/>
  <c r="AN134" i="17"/>
  <c r="AN5"/>
  <c r="AN6"/>
  <c r="AN7"/>
  <c r="AN9"/>
  <c r="AN10"/>
  <c r="AN11"/>
  <c r="AN12"/>
  <c r="AN13"/>
  <c r="AN14"/>
  <c r="AN15"/>
  <c r="AN16"/>
  <c r="AN17"/>
  <c r="AN18"/>
  <c r="AN19"/>
  <c r="AN22"/>
  <c r="AN27"/>
  <c r="AN28"/>
  <c r="AN29"/>
  <c r="AN30"/>
  <c r="AN31"/>
  <c r="AN32"/>
  <c r="AN33"/>
  <c r="AN34"/>
  <c r="AN35"/>
  <c r="AN36"/>
  <c r="AN37"/>
  <c r="AN38"/>
  <c r="AN39"/>
  <c r="AN40"/>
  <c r="AN41"/>
  <c r="AN43"/>
  <c r="AN44"/>
  <c r="AN45"/>
  <c r="AN46"/>
  <c r="AN47"/>
  <c r="AN48"/>
  <c r="AN49"/>
  <c r="AN50"/>
  <c r="AN51"/>
  <c r="AN52"/>
  <c r="AN55"/>
  <c r="AN56"/>
  <c r="AN57"/>
  <c r="AN58"/>
  <c r="AN59"/>
  <c r="AN60"/>
  <c r="AN61"/>
  <c r="AN62"/>
  <c r="AN63"/>
  <c r="AN64"/>
  <c r="AN65"/>
  <c r="AN66"/>
  <c r="AN67"/>
  <c r="AN68"/>
  <c r="AN69"/>
  <c r="AN70"/>
  <c r="AN72"/>
  <c r="AN73"/>
  <c r="AN74"/>
  <c r="AN75"/>
  <c r="AN76"/>
  <c r="AN77"/>
  <c r="AN78"/>
  <c r="AN79"/>
  <c r="AN80"/>
  <c r="AN85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20"/>
  <c r="AN122"/>
  <c r="AN123"/>
  <c r="AN124"/>
  <c r="AN125"/>
  <c r="AN126"/>
  <c r="AN127"/>
  <c r="AN128"/>
  <c r="AN130"/>
  <c r="AN131"/>
  <c r="AN133"/>
  <c r="AN4"/>
  <c r="AN3"/>
  <c r="G67" i="19" l="1"/>
  <c r="D134" i="17" l="1"/>
  <c r="B134"/>
  <c r="C134"/>
  <c r="Y129" l="1"/>
  <c r="AN129" s="1"/>
  <c r="Y84"/>
  <c r="AN84" s="1"/>
  <c r="Y26"/>
  <c r="AN26" s="1"/>
  <c r="Y25"/>
  <c r="AN25" s="1"/>
  <c r="Y83"/>
  <c r="Y24"/>
  <c r="Y23"/>
  <c r="D35" i="12" l="1"/>
  <c r="D37" s="1"/>
  <c r="D31"/>
  <c r="D22"/>
  <c r="D12"/>
  <c r="D21" i="15"/>
  <c r="D16"/>
  <c r="D29" s="1"/>
  <c r="D7" i="17" l="1"/>
  <c r="AN8" l="1"/>
  <c r="L24"/>
  <c r="L23"/>
  <c r="K86"/>
  <c r="K121"/>
  <c r="AN121" s="1"/>
  <c r="K132"/>
  <c r="AN132" s="1"/>
  <c r="K83"/>
  <c r="AN83" s="1"/>
  <c r="K24"/>
  <c r="AN24" s="1"/>
  <c r="K23"/>
  <c r="K54"/>
  <c r="K82"/>
  <c r="K119"/>
  <c r="AN119" s="1"/>
  <c r="K53"/>
  <c r="K71"/>
  <c r="J86"/>
  <c r="J82"/>
  <c r="J81"/>
  <c r="AN81" s="1"/>
  <c r="J71"/>
  <c r="AN71" s="1"/>
  <c r="J54"/>
  <c r="AN54" s="1"/>
  <c r="J53"/>
  <c r="J42"/>
  <c r="AN42" s="1"/>
  <c r="J21"/>
  <c r="AN21" s="1"/>
  <c r="J20"/>
  <c r="AN20" s="1"/>
  <c r="C3"/>
  <c r="AN86" l="1"/>
  <c r="AN23"/>
  <c r="AN53"/>
  <c r="AN82"/>
  <c r="C79"/>
  <c r="D26" l="1"/>
  <c r="C26"/>
  <c r="E47" l="1"/>
  <c r="E115"/>
  <c r="E113"/>
  <c r="E112"/>
  <c r="E111"/>
  <c r="E110"/>
  <c r="E114"/>
  <c r="E109"/>
  <c r="E108"/>
  <c r="E107"/>
  <c r="E106"/>
  <c r="E105"/>
  <c r="E104"/>
  <c r="E103"/>
  <c r="E102"/>
  <c r="E101"/>
  <c r="E100"/>
  <c r="E99"/>
  <c r="E98"/>
  <c r="E97"/>
  <c r="E96"/>
  <c r="E94"/>
  <c r="E95"/>
  <c r="E93"/>
  <c r="E77"/>
  <c r="E76"/>
  <c r="E74"/>
  <c r="E75"/>
  <c r="E73"/>
  <c r="E72"/>
  <c r="E71"/>
  <c r="E70"/>
  <c r="E69"/>
  <c r="E68"/>
  <c r="E67"/>
  <c r="E66"/>
  <c r="E65"/>
  <c r="E63"/>
  <c r="E62"/>
  <c r="E61"/>
  <c r="E60"/>
  <c r="E59"/>
  <c r="E64"/>
  <c r="E58"/>
  <c r="E57"/>
  <c r="E56"/>
  <c r="E55"/>
  <c r="E54"/>
  <c r="E53"/>
  <c r="E133"/>
  <c r="E132"/>
  <c r="E131"/>
  <c r="E130"/>
  <c r="E129"/>
  <c r="E128"/>
  <c r="E126"/>
  <c r="E125"/>
  <c r="E124"/>
  <c r="E127"/>
  <c r="E123"/>
  <c r="E122"/>
  <c r="E121"/>
  <c r="E120"/>
  <c r="E119"/>
  <c r="E118"/>
  <c r="E117"/>
  <c r="E116"/>
  <c r="E91"/>
  <c r="E90"/>
  <c r="E89"/>
  <c r="E88"/>
  <c r="E87"/>
  <c r="E86"/>
  <c r="E85"/>
  <c r="E84"/>
  <c r="E83"/>
  <c r="E82"/>
  <c r="E81"/>
  <c r="E92"/>
  <c r="E80"/>
  <c r="E79"/>
  <c r="E78"/>
  <c r="E52"/>
  <c r="E51"/>
  <c r="E50"/>
  <c r="E49"/>
  <c r="E4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8"/>
  <c r="E7"/>
  <c r="E6"/>
  <c r="E5"/>
  <c r="E4"/>
  <c r="E3"/>
  <c r="E12"/>
  <c r="E11"/>
  <c r="E10"/>
  <c r="E9"/>
  <c r="D115"/>
  <c r="D113"/>
  <c r="D112"/>
  <c r="B115"/>
  <c r="B113"/>
  <c r="B112"/>
  <c r="C115"/>
  <c r="C113"/>
  <c r="C112"/>
  <c r="D111"/>
  <c r="D110"/>
  <c r="D114"/>
  <c r="C111"/>
  <c r="C110"/>
  <c r="C114"/>
  <c r="B111"/>
  <c r="B110"/>
  <c r="B114"/>
  <c r="D109"/>
  <c r="D108"/>
  <c r="C109"/>
  <c r="C108"/>
  <c r="B109"/>
  <c r="B108"/>
  <c r="D107"/>
  <c r="D106"/>
  <c r="D105"/>
  <c r="C107"/>
  <c r="C106"/>
  <c r="C105"/>
  <c r="B107"/>
  <c r="B106"/>
  <c r="B105"/>
  <c r="D104"/>
  <c r="D103"/>
  <c r="D102"/>
  <c r="C104"/>
  <c r="C103"/>
  <c r="C102"/>
  <c r="B104"/>
  <c r="B103"/>
  <c r="B102"/>
  <c r="D101"/>
  <c r="D100"/>
  <c r="D99"/>
  <c r="C101"/>
  <c r="C100"/>
  <c r="C99"/>
  <c r="B101"/>
  <c r="B100"/>
  <c r="B99"/>
  <c r="D98"/>
  <c r="D97"/>
  <c r="D96"/>
  <c r="D94"/>
  <c r="C98"/>
  <c r="C97"/>
  <c r="C96"/>
  <c r="C94"/>
  <c r="B98"/>
  <c r="B97"/>
  <c r="B96"/>
  <c r="B94"/>
  <c r="D95"/>
  <c r="D93"/>
  <c r="D77"/>
  <c r="D76"/>
  <c r="C95"/>
  <c r="C93"/>
  <c r="C77"/>
  <c r="C76"/>
  <c r="B95"/>
  <c r="B93"/>
  <c r="B77"/>
  <c r="B76"/>
  <c r="C74"/>
  <c r="B74"/>
  <c r="D75"/>
  <c r="D73"/>
  <c r="D72"/>
  <c r="D71"/>
  <c r="C75"/>
  <c r="C73"/>
  <c r="C72"/>
  <c r="C71"/>
  <c r="B75"/>
  <c r="B73"/>
  <c r="B72"/>
  <c r="B71"/>
  <c r="D70"/>
  <c r="D69"/>
  <c r="D68"/>
  <c r="C70"/>
  <c r="C69"/>
  <c r="C68"/>
  <c r="B70"/>
  <c r="B69"/>
  <c r="B68"/>
  <c r="D67"/>
  <c r="D66"/>
  <c r="D65"/>
  <c r="C67"/>
  <c r="C66"/>
  <c r="C65"/>
  <c r="B67"/>
  <c r="B66"/>
  <c r="B65"/>
  <c r="D63"/>
  <c r="D62"/>
  <c r="D61"/>
  <c r="C63"/>
  <c r="C62"/>
  <c r="C61"/>
  <c r="B63"/>
  <c r="B62"/>
  <c r="B61"/>
  <c r="D60"/>
  <c r="D59"/>
  <c r="C60"/>
  <c r="C59"/>
  <c r="B60"/>
  <c r="B59"/>
  <c r="D64"/>
  <c r="D58"/>
  <c r="C64"/>
  <c r="C58"/>
  <c r="B64"/>
  <c r="B58"/>
  <c r="D57"/>
  <c r="D56"/>
  <c r="C57"/>
  <c r="B57"/>
  <c r="B56"/>
  <c r="D55"/>
  <c r="D54"/>
  <c r="C55"/>
  <c r="C54"/>
  <c r="B55"/>
  <c r="B54"/>
  <c r="D53"/>
  <c r="C53"/>
  <c r="B53"/>
  <c r="D133"/>
  <c r="D132"/>
  <c r="C133"/>
  <c r="C132"/>
  <c r="B133"/>
  <c r="B132"/>
  <c r="D131"/>
  <c r="D130"/>
  <c r="C131"/>
  <c r="C130"/>
  <c r="B131"/>
  <c r="B130"/>
  <c r="D129"/>
  <c r="D128"/>
  <c r="C129"/>
  <c r="C128"/>
  <c r="B129"/>
  <c r="B128"/>
  <c r="D126"/>
  <c r="D125"/>
  <c r="D124"/>
  <c r="C126"/>
  <c r="C125"/>
  <c r="C124"/>
  <c r="B126"/>
  <c r="B125"/>
  <c r="B124"/>
  <c r="D127"/>
  <c r="D123"/>
  <c r="C127"/>
  <c r="C123"/>
  <c r="B127"/>
  <c r="B123"/>
  <c r="D122"/>
  <c r="C122"/>
  <c r="B122"/>
  <c r="D121"/>
  <c r="D120"/>
  <c r="C121"/>
  <c r="C120"/>
  <c r="B121"/>
  <c r="B120"/>
  <c r="D119"/>
  <c r="D118"/>
  <c r="C119"/>
  <c r="C118"/>
  <c r="B119"/>
  <c r="B118"/>
  <c r="D117"/>
  <c r="D116"/>
  <c r="C117"/>
  <c r="C116"/>
  <c r="B117"/>
  <c r="B116"/>
  <c r="D91"/>
  <c r="C91"/>
  <c r="B91"/>
  <c r="D90"/>
  <c r="D89"/>
  <c r="C90"/>
  <c r="C89"/>
  <c r="B90"/>
  <c r="B89"/>
  <c r="D88"/>
  <c r="D87"/>
  <c r="C88"/>
  <c r="C87"/>
  <c r="B88"/>
  <c r="B87"/>
  <c r="D86"/>
  <c r="D85"/>
  <c r="C86"/>
  <c r="C85"/>
  <c r="B86"/>
  <c r="B85"/>
  <c r="D84"/>
  <c r="D83"/>
  <c r="C84"/>
  <c r="C83"/>
  <c r="B84"/>
  <c r="B83"/>
  <c r="D82"/>
  <c r="D81"/>
  <c r="C82"/>
  <c r="C81"/>
  <c r="B82"/>
  <c r="B81"/>
  <c r="D92"/>
  <c r="C92"/>
  <c r="B92"/>
  <c r="D80"/>
  <c r="D78"/>
  <c r="C80"/>
  <c r="C78"/>
  <c r="B80"/>
  <c r="B79"/>
  <c r="B78"/>
  <c r="D52"/>
  <c r="D51"/>
  <c r="C52"/>
  <c r="C51"/>
  <c r="B52"/>
  <c r="B51"/>
  <c r="C50"/>
  <c r="B50"/>
  <c r="D49"/>
  <c r="D48"/>
  <c r="C49"/>
  <c r="C48"/>
  <c r="B49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B29"/>
  <c r="D29"/>
  <c r="C29"/>
  <c r="D28"/>
  <c r="C28"/>
  <c r="B28"/>
  <c r="D27"/>
  <c r="C27"/>
  <c r="B27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8"/>
  <c r="C8"/>
  <c r="B8"/>
  <c r="C6"/>
  <c r="C7"/>
  <c r="B7"/>
  <c r="B6"/>
  <c r="B5"/>
  <c r="B4"/>
  <c r="B3"/>
  <c r="B12"/>
  <c r="B11"/>
  <c r="B10"/>
  <c r="B9"/>
  <c r="C5"/>
  <c r="C4"/>
  <c r="C12"/>
  <c r="D10"/>
  <c r="C10"/>
  <c r="D9"/>
  <c r="C9"/>
  <c r="G51" i="2" l="1"/>
  <c r="G50"/>
  <c r="G49"/>
  <c r="G41"/>
  <c r="A341" i="19"/>
  <c r="B341"/>
  <c r="C341"/>
  <c r="D341"/>
  <c r="A333"/>
  <c r="C333"/>
  <c r="D333"/>
  <c r="A325"/>
  <c r="C325"/>
  <c r="D325"/>
  <c r="A317"/>
  <c r="C317"/>
  <c r="D317"/>
  <c r="A309"/>
  <c r="C309"/>
  <c r="D309"/>
  <c r="A301"/>
  <c r="C301"/>
  <c r="D301"/>
  <c r="A293"/>
  <c r="C293"/>
  <c r="D293"/>
  <c r="A285"/>
  <c r="C285"/>
  <c r="D285"/>
  <c r="A277"/>
  <c r="C277"/>
  <c r="D277"/>
  <c r="A269"/>
  <c r="C269"/>
  <c r="D269"/>
  <c r="A261"/>
  <c r="C261"/>
  <c r="D261"/>
  <c r="A253"/>
  <c r="C253"/>
  <c r="D253"/>
  <c r="A245"/>
  <c r="C245"/>
  <c r="D245"/>
  <c r="A237"/>
  <c r="C237"/>
  <c r="D237"/>
  <c r="A220"/>
  <c r="C220"/>
  <c r="D220"/>
  <c r="A208"/>
  <c r="C208"/>
  <c r="D208"/>
  <c r="A200"/>
  <c r="C200"/>
  <c r="D200"/>
  <c r="A192"/>
  <c r="C192"/>
  <c r="D192"/>
  <c r="A183"/>
  <c r="C183"/>
  <c r="D183"/>
  <c r="A175"/>
  <c r="C175"/>
  <c r="D175"/>
  <c r="A167"/>
  <c r="B167"/>
  <c r="B200" s="1"/>
  <c r="C167"/>
  <c r="D167"/>
  <c r="A155"/>
  <c r="C155"/>
  <c r="D155"/>
  <c r="A146"/>
  <c r="B146"/>
  <c r="C146"/>
  <c r="D146"/>
  <c r="A166"/>
  <c r="C824" i="2" s="1"/>
  <c r="B166" i="19"/>
  <c r="D1390" i="2" s="1"/>
  <c r="C166" i="19"/>
  <c r="D166"/>
  <c r="D145"/>
  <c r="A144"/>
  <c r="B144"/>
  <c r="C144"/>
  <c r="D144"/>
  <c r="C56" i="17"/>
  <c r="D1278" i="2" l="1"/>
  <c r="D1510"/>
  <c r="D1277"/>
  <c r="D1509"/>
  <c r="D1145"/>
  <c r="D1213"/>
  <c r="C890"/>
  <c r="C1213"/>
  <c r="D890"/>
  <c r="D946"/>
  <c r="D755"/>
  <c r="D824"/>
  <c r="D631"/>
  <c r="D754"/>
  <c r="D358"/>
  <c r="D692"/>
  <c r="C358"/>
  <c r="C692"/>
  <c r="E631"/>
  <c r="C356"/>
  <c r="C631"/>
  <c r="D514"/>
  <c r="B208" i="19"/>
  <c r="D581" i="2" s="1"/>
  <c r="D513"/>
  <c r="D579"/>
  <c r="D471"/>
  <c r="B192" i="19" s="1"/>
  <c r="B155"/>
  <c r="B183"/>
  <c r="D420" i="2" s="1"/>
  <c r="B107" i="19"/>
  <c r="D633" i="2" s="1"/>
  <c r="B220" i="19" s="1"/>
  <c r="D287" i="2"/>
  <c r="D356"/>
  <c r="C287"/>
  <c r="B237" i="19" l="1"/>
  <c r="D693" i="2" s="1"/>
  <c r="B245" i="19"/>
  <c r="B253" s="1"/>
  <c r="D217"/>
  <c r="D216"/>
  <c r="D164"/>
  <c r="C164"/>
  <c r="D1383" i="2"/>
  <c r="A164" i="19"/>
  <c r="A143"/>
  <c r="A154"/>
  <c r="D165"/>
  <c r="A165"/>
  <c r="D154"/>
  <c r="B143"/>
  <c r="D143"/>
  <c r="D222" i="2" l="1"/>
  <c r="D219"/>
  <c r="D220"/>
  <c r="D218"/>
  <c r="B159" i="19" s="1"/>
  <c r="D1208" i="2"/>
  <c r="D1505"/>
  <c r="D748"/>
  <c r="D1272"/>
  <c r="D885"/>
  <c r="D1009"/>
  <c r="B261" i="19"/>
  <c r="D826" i="2"/>
  <c r="D274"/>
  <c r="D818"/>
  <c r="D512"/>
  <c r="D574"/>
  <c r="D1507" l="1"/>
  <c r="D1506"/>
  <c r="D1508"/>
  <c r="D893"/>
  <c r="B269" i="19"/>
  <c r="B285" s="1"/>
  <c r="D820" i="2"/>
  <c r="D819"/>
  <c r="D821"/>
  <c r="D949" l="1"/>
  <c r="B277" i="19"/>
  <c r="B325" l="1"/>
  <c r="D1391" i="2" s="1"/>
  <c r="B333" i="19"/>
  <c r="B309"/>
  <c r="D1279" i="2" s="1"/>
  <c r="B317" i="19"/>
  <c r="D1335" i="2" s="1"/>
  <c r="B293" i="19"/>
  <c r="D1147" i="2" s="1"/>
  <c r="B301" i="19"/>
  <c r="D1216" i="2" s="1"/>
  <c r="B142" i="19"/>
  <c r="E199" i="2"/>
  <c r="D142" i="19"/>
  <c r="D141"/>
  <c r="A141"/>
  <c r="C1193" i="2" s="1"/>
  <c r="B141" i="19"/>
  <c r="C141"/>
  <c r="A228"/>
  <c r="C228"/>
  <c r="D228"/>
  <c r="G231"/>
  <c r="G230"/>
  <c r="G229"/>
  <c r="A233"/>
  <c r="C233"/>
  <c r="D233"/>
  <c r="G235"/>
  <c r="G234"/>
  <c r="A232"/>
  <c r="D232"/>
  <c r="A140"/>
  <c r="C114" i="2" s="1"/>
  <c r="A136" i="19" s="1"/>
  <c r="B136"/>
  <c r="C136"/>
  <c r="D136"/>
  <c r="G138"/>
  <c r="G137"/>
  <c r="C132"/>
  <c r="A132"/>
  <c r="B132"/>
  <c r="D132"/>
  <c r="G135"/>
  <c r="G134"/>
  <c r="G133"/>
  <c r="A128"/>
  <c r="B128"/>
  <c r="D1486" i="2" s="1"/>
  <c r="C128" i="19"/>
  <c r="D128"/>
  <c r="G131"/>
  <c r="G130"/>
  <c r="G129"/>
  <c r="D74" i="17"/>
  <c r="D1487" i="2" l="1"/>
  <c r="D401"/>
  <c r="D333"/>
  <c r="H143"/>
  <c r="H141"/>
  <c r="H139"/>
  <c r="H125"/>
  <c r="H142"/>
  <c r="H140"/>
  <c r="H138"/>
  <c r="H128"/>
  <c r="H1486"/>
  <c r="D1435"/>
  <c r="D1497"/>
  <c r="H1312"/>
  <c r="H1426"/>
  <c r="D1312"/>
  <c r="D1426"/>
  <c r="D1261"/>
  <c r="D1320"/>
  <c r="D196"/>
  <c r="D1193"/>
  <c r="E196"/>
  <c r="E1193"/>
  <c r="D984"/>
  <c r="D1184"/>
  <c r="H986"/>
  <c r="H1120"/>
  <c r="D997"/>
  <c r="D1132"/>
  <c r="D986"/>
  <c r="D1120"/>
  <c r="D864"/>
  <c r="D928"/>
  <c r="H862"/>
  <c r="H863"/>
  <c r="D741"/>
  <c r="D879"/>
  <c r="D730"/>
  <c r="D862"/>
  <c r="D183"/>
  <c r="D863"/>
  <c r="D797"/>
  <c r="D798" s="1"/>
  <c r="D792"/>
  <c r="C325"/>
  <c r="C792"/>
  <c r="H730"/>
  <c r="D406"/>
  <c r="D678"/>
  <c r="H666"/>
  <c r="D395"/>
  <c r="D666"/>
  <c r="H395"/>
  <c r="D396"/>
  <c r="D553"/>
  <c r="D182"/>
  <c r="D327"/>
  <c r="D184"/>
  <c r="D325"/>
  <c r="D199"/>
  <c r="D338"/>
  <c r="D79" i="17" l="1"/>
  <c r="G125" i="19"/>
  <c r="H973" i="2" s="1"/>
  <c r="G118" i="19"/>
  <c r="A117"/>
  <c r="C117"/>
  <c r="D117"/>
  <c r="G121"/>
  <c r="G120"/>
  <c r="G119"/>
  <c r="H1466" i="2" l="1"/>
  <c r="H1163"/>
  <c r="H841"/>
  <c r="H709"/>
  <c r="H530"/>
  <c r="H436"/>
  <c r="H375"/>
  <c r="H242"/>
  <c r="H91"/>
  <c r="H772"/>
  <c r="H251"/>
  <c r="H313"/>
  <c r="H384"/>
  <c r="H540"/>
  <c r="H656"/>
  <c r="H718"/>
  <c r="H780"/>
  <c r="H1475"/>
  <c r="H1415"/>
  <c r="H1301"/>
  <c r="H1172"/>
  <c r="H1043"/>
  <c r="H1359"/>
  <c r="H1109"/>
  <c r="H100"/>
  <c r="H170"/>
  <c r="H314"/>
  <c r="H383"/>
  <c r="H444"/>
  <c r="H494"/>
  <c r="H539"/>
  <c r="H603"/>
  <c r="H655"/>
  <c r="H717"/>
  <c r="H781"/>
  <c r="H851"/>
  <c r="H917"/>
  <c r="H1358"/>
  <c r="H1414"/>
  <c r="H1171"/>
  <c r="H1045"/>
  <c r="D40" i="19" l="1"/>
  <c r="G35" l="1"/>
  <c r="G139"/>
  <c r="G236"/>
  <c r="A74"/>
  <c r="C74"/>
  <c r="D74"/>
  <c r="A73"/>
  <c r="C390" i="2" s="1"/>
  <c r="C73" i="19"/>
  <c r="D73"/>
  <c r="D71"/>
  <c r="G65"/>
  <c r="G66"/>
  <c r="H533" i="2" l="1"/>
  <c r="H20"/>
  <c r="H1184"/>
  <c r="H1487"/>
  <c r="H1373"/>
  <c r="H1431"/>
  <c r="H1127"/>
  <c r="H1189"/>
  <c r="H1112"/>
  <c r="H736"/>
  <c r="H1063"/>
  <c r="H928"/>
  <c r="H984"/>
  <c r="H792"/>
  <c r="H864"/>
  <c r="H606"/>
  <c r="H396"/>
  <c r="H553"/>
  <c r="H145"/>
  <c r="H1480"/>
  <c r="H1243"/>
  <c r="H978"/>
  <c r="H723"/>
  <c r="H546"/>
  <c r="H319"/>
  <c r="H1420"/>
  <c r="H1177"/>
  <c r="H922"/>
  <c r="H660"/>
  <c r="H498"/>
  <c r="H256"/>
  <c r="H1364"/>
  <c r="H1114"/>
  <c r="H855"/>
  <c r="H608"/>
  <c r="H448"/>
  <c r="H175"/>
  <c r="H1306"/>
  <c r="H1050"/>
  <c r="H786"/>
  <c r="H389"/>
  <c r="H105"/>
  <c r="H34"/>
  <c r="H1418"/>
  <c r="H1175"/>
  <c r="H920"/>
  <c r="H658"/>
  <c r="H496"/>
  <c r="H254"/>
  <c r="H1362"/>
  <c r="H853"/>
  <c r="H446"/>
  <c r="H173"/>
  <c r="H1304"/>
  <c r="H1048"/>
  <c r="H784"/>
  <c r="H387"/>
  <c r="H103"/>
  <c r="H1478"/>
  <c r="H1241"/>
  <c r="H976"/>
  <c r="H721"/>
  <c r="H544"/>
  <c r="H317"/>
  <c r="H32"/>
  <c r="G69" i="19"/>
  <c r="G70"/>
  <c r="A64"/>
  <c r="D62"/>
  <c r="G63"/>
  <c r="C58"/>
  <c r="D58"/>
  <c r="G61"/>
  <c r="G53"/>
  <c r="D52"/>
  <c r="D54"/>
  <c r="D56"/>
  <c r="C11" i="17"/>
  <c r="G45" i="19"/>
  <c r="A36"/>
  <c r="C36"/>
  <c r="D36"/>
  <c r="D34"/>
  <c r="G31"/>
  <c r="G30"/>
  <c r="A29"/>
  <c r="C29"/>
  <c r="D29"/>
  <c r="G26"/>
  <c r="G25"/>
  <c r="A24"/>
  <c r="C24"/>
  <c r="D24"/>
  <c r="G21"/>
  <c r="G20"/>
  <c r="A14"/>
  <c r="C14"/>
  <c r="D14"/>
  <c r="A19"/>
  <c r="C19"/>
  <c r="D19"/>
  <c r="G16"/>
  <c r="G15"/>
  <c r="H1411" i="2" l="1"/>
  <c r="H1471"/>
  <c r="H1299"/>
  <c r="H1355"/>
  <c r="H1168"/>
  <c r="H1236"/>
  <c r="H1042"/>
  <c r="H1239"/>
  <c r="H1049"/>
  <c r="H1038"/>
  <c r="H1105"/>
  <c r="H913"/>
  <c r="H969"/>
  <c r="H846"/>
  <c r="H777"/>
  <c r="H542"/>
  <c r="H849"/>
  <c r="H653"/>
  <c r="H714"/>
  <c r="H536"/>
  <c r="H601"/>
  <c r="H439"/>
  <c r="H489"/>
  <c r="H442"/>
  <c r="H492"/>
  <c r="H380"/>
  <c r="H310"/>
  <c r="H166"/>
  <c r="H247"/>
  <c r="H24"/>
  <c r="H96"/>
  <c r="H27"/>
  <c r="H99"/>
  <c r="D5" i="17"/>
  <c r="D3"/>
  <c r="D4"/>
  <c r="D6"/>
  <c r="D12"/>
  <c r="D11"/>
  <c r="H968" i="2"/>
  <c r="H845"/>
  <c r="H309"/>
  <c r="H246"/>
  <c r="H31"/>
  <c r="H531"/>
  <c r="H1363"/>
  <c r="H1113"/>
  <c r="H854"/>
  <c r="H607"/>
  <c r="H447"/>
  <c r="H174"/>
  <c r="H33"/>
  <c r="H1305"/>
  <c r="H785"/>
  <c r="H388"/>
  <c r="H104"/>
  <c r="H1479"/>
  <c r="H1242"/>
  <c r="H977"/>
  <c r="H722"/>
  <c r="H545"/>
  <c r="H318"/>
  <c r="H1419"/>
  <c r="H1176"/>
  <c r="H921"/>
  <c r="H659"/>
  <c r="H497"/>
  <c r="H255"/>
  <c r="G42" i="19"/>
  <c r="G41"/>
  <c r="A75"/>
  <c r="C75"/>
  <c r="D75"/>
  <c r="A79"/>
  <c r="C79"/>
  <c r="D79"/>
  <c r="G82"/>
  <c r="G81"/>
  <c r="G80"/>
  <c r="A83"/>
  <c r="D83"/>
  <c r="D84"/>
  <c r="D89"/>
  <c r="D103"/>
  <c r="D104"/>
  <c r="D105"/>
  <c r="D106"/>
  <c r="D107"/>
  <c r="A84"/>
  <c r="G88"/>
  <c r="G87"/>
  <c r="G86"/>
  <c r="A85"/>
  <c r="C85"/>
  <c r="D85"/>
  <c r="A89"/>
  <c r="C89"/>
  <c r="C90"/>
  <c r="E1258" i="2" s="1"/>
  <c r="A92" i="19"/>
  <c r="C1496" i="2" s="1"/>
  <c r="B92" i="19"/>
  <c r="C92"/>
  <c r="E1496" i="2" s="1"/>
  <c r="D92" i="19"/>
  <c r="A93"/>
  <c r="B93"/>
  <c r="C93"/>
  <c r="E1260" i="2" s="1"/>
  <c r="D93" i="19"/>
  <c r="A94"/>
  <c r="C1498" i="2" s="1"/>
  <c r="B94" i="19"/>
  <c r="D1498" i="2" s="1"/>
  <c r="C94" i="19"/>
  <c r="D94"/>
  <c r="A95"/>
  <c r="C806" i="2" s="1"/>
  <c r="C95" i="19"/>
  <c r="D95"/>
  <c r="A96"/>
  <c r="B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C102"/>
  <c r="D102"/>
  <c r="A103"/>
  <c r="B103"/>
  <c r="C103"/>
  <c r="E630" i="2" s="1"/>
  <c r="A104" i="19"/>
  <c r="C823" i="2" s="1"/>
  <c r="B104" i="19"/>
  <c r="C104"/>
  <c r="E632" i="2" s="1"/>
  <c r="A105" i="19"/>
  <c r="C419" i="2" s="1"/>
  <c r="B105" i="19"/>
  <c r="D1015" i="2" s="1"/>
  <c r="C105" i="19"/>
  <c r="A106"/>
  <c r="B106"/>
  <c r="C106"/>
  <c r="D50" i="17"/>
  <c r="A107" i="19"/>
  <c r="C107"/>
  <c r="G108"/>
  <c r="D411" i="2" l="1"/>
  <c r="D344"/>
  <c r="D342"/>
  <c r="D276"/>
  <c r="D204"/>
  <c r="D202"/>
  <c r="D412"/>
  <c r="D410"/>
  <c r="D343"/>
  <c r="D277"/>
  <c r="D275"/>
  <c r="D203"/>
  <c r="D349"/>
  <c r="D347"/>
  <c r="D217"/>
  <c r="D214"/>
  <c r="D350"/>
  <c r="D348"/>
  <c r="D215"/>
  <c r="D1442"/>
  <c r="D345"/>
  <c r="D213"/>
  <c r="D1500"/>
  <c r="D281"/>
  <c r="D278"/>
  <c r="D207"/>
  <c r="D280"/>
  <c r="D208"/>
  <c r="D205"/>
  <c r="E565"/>
  <c r="E1069"/>
  <c r="D1449"/>
  <c r="D1389"/>
  <c r="D1447"/>
  <c r="D1388"/>
  <c r="H1485"/>
  <c r="H613"/>
  <c r="H1493"/>
  <c r="D1502"/>
  <c r="D1501"/>
  <c r="D1503"/>
  <c r="D1434"/>
  <c r="D1496"/>
  <c r="H1425"/>
  <c r="D1328"/>
  <c r="D1331" s="1"/>
  <c r="D1443"/>
  <c r="D1379"/>
  <c r="D1381" s="1"/>
  <c r="D1438"/>
  <c r="E1376"/>
  <c r="E1434"/>
  <c r="H1311"/>
  <c r="H1369"/>
  <c r="C1319"/>
  <c r="C1376"/>
  <c r="D1319"/>
  <c r="D1376"/>
  <c r="D1333"/>
  <c r="D1334"/>
  <c r="D1144"/>
  <c r="D1332"/>
  <c r="D1139"/>
  <c r="D1327"/>
  <c r="D1264"/>
  <c r="D1265" s="1"/>
  <c r="D1323"/>
  <c r="E1259"/>
  <c r="E1319"/>
  <c r="D1204"/>
  <c r="D1206" s="1"/>
  <c r="D1268"/>
  <c r="C1195"/>
  <c r="C1260"/>
  <c r="D1194"/>
  <c r="D1259"/>
  <c r="D1195"/>
  <c r="D1260"/>
  <c r="C1194"/>
  <c r="C1259"/>
  <c r="H1248"/>
  <c r="H1190"/>
  <c r="D1135"/>
  <c r="D1137" s="1"/>
  <c r="D1200"/>
  <c r="H1183"/>
  <c r="H1182"/>
  <c r="D998"/>
  <c r="D1198"/>
  <c r="E1131"/>
  <c r="E1195"/>
  <c r="E998"/>
  <c r="E1198"/>
  <c r="C998"/>
  <c r="C1198"/>
  <c r="E1130"/>
  <c r="E1194"/>
  <c r="H1121"/>
  <c r="H1119"/>
  <c r="D1079"/>
  <c r="D1081" s="1"/>
  <c r="D1140"/>
  <c r="C1067"/>
  <c r="C1131"/>
  <c r="D1066"/>
  <c r="D1130"/>
  <c r="D1084"/>
  <c r="D1146"/>
  <c r="D1067"/>
  <c r="D1131"/>
  <c r="C1066"/>
  <c r="C1130"/>
  <c r="H1056"/>
  <c r="H1055"/>
  <c r="D822"/>
  <c r="D1083"/>
  <c r="D812"/>
  <c r="D1078"/>
  <c r="D1000"/>
  <c r="D1001" s="1"/>
  <c r="D1070"/>
  <c r="D937"/>
  <c r="D938" s="1"/>
  <c r="D1074"/>
  <c r="E995"/>
  <c r="E1066"/>
  <c r="E996"/>
  <c r="E1067"/>
  <c r="H992"/>
  <c r="H985"/>
  <c r="H983"/>
  <c r="D823"/>
  <c r="D1014"/>
  <c r="D813"/>
  <c r="D814" s="1"/>
  <c r="D1004"/>
  <c r="C878"/>
  <c r="C996"/>
  <c r="D934"/>
  <c r="D995"/>
  <c r="D878"/>
  <c r="D996"/>
  <c r="C934"/>
  <c r="C995"/>
  <c r="D419"/>
  <c r="D947"/>
  <c r="H931"/>
  <c r="H927"/>
  <c r="D221"/>
  <c r="D941"/>
  <c r="E880"/>
  <c r="E935"/>
  <c r="C880"/>
  <c r="C935"/>
  <c r="E877"/>
  <c r="E934"/>
  <c r="D880"/>
  <c r="D935"/>
  <c r="C690"/>
  <c r="C822"/>
  <c r="D807"/>
  <c r="D809" s="1"/>
  <c r="D881"/>
  <c r="H874"/>
  <c r="H800"/>
  <c r="H861"/>
  <c r="H793"/>
  <c r="H860"/>
  <c r="H791"/>
  <c r="E804"/>
  <c r="E878"/>
  <c r="D803"/>
  <c r="D877"/>
  <c r="C803"/>
  <c r="C877"/>
  <c r="D621"/>
  <c r="D622" s="1"/>
  <c r="D811"/>
  <c r="D564"/>
  <c r="D805"/>
  <c r="C740"/>
  <c r="C804"/>
  <c r="E564"/>
  <c r="E805"/>
  <c r="C564"/>
  <c r="C805"/>
  <c r="D740"/>
  <c r="D804"/>
  <c r="E739"/>
  <c r="E803"/>
  <c r="H729"/>
  <c r="D690"/>
  <c r="D753"/>
  <c r="D681"/>
  <c r="D682" s="1"/>
  <c r="D744"/>
  <c r="C677"/>
  <c r="C739"/>
  <c r="E563"/>
  <c r="E740"/>
  <c r="D677"/>
  <c r="D739"/>
  <c r="H665"/>
  <c r="H728"/>
  <c r="D632"/>
  <c r="D691"/>
  <c r="C632"/>
  <c r="C691"/>
  <c r="D626"/>
  <c r="D628" s="1"/>
  <c r="D686"/>
  <c r="D625"/>
  <c r="D685"/>
  <c r="E619"/>
  <c r="E677"/>
  <c r="C355"/>
  <c r="C630"/>
  <c r="D469"/>
  <c r="D470" s="1"/>
  <c r="D630"/>
  <c r="C562"/>
  <c r="C619"/>
  <c r="D562"/>
  <c r="D619"/>
  <c r="H558"/>
  <c r="H552"/>
  <c r="D508"/>
  <c r="D509" s="1"/>
  <c r="D566"/>
  <c r="D346"/>
  <c r="D570"/>
  <c r="C337"/>
  <c r="C563"/>
  <c r="H503"/>
  <c r="H551"/>
  <c r="C340"/>
  <c r="C565"/>
  <c r="D337"/>
  <c r="D563"/>
  <c r="E506"/>
  <c r="E562"/>
  <c r="E124"/>
  <c r="E560"/>
  <c r="C459"/>
  <c r="C506"/>
  <c r="D459"/>
  <c r="D506"/>
  <c r="D409"/>
  <c r="D461"/>
  <c r="H454"/>
  <c r="E405"/>
  <c r="E459"/>
  <c r="H402"/>
  <c r="H394"/>
  <c r="H453" s="1"/>
  <c r="E339"/>
  <c r="E407"/>
  <c r="C339"/>
  <c r="C407"/>
  <c r="C336"/>
  <c r="C405"/>
  <c r="C324"/>
  <c r="C394"/>
  <c r="D357"/>
  <c r="D418"/>
  <c r="C357"/>
  <c r="C418"/>
  <c r="D216"/>
  <c r="D413"/>
  <c r="D339"/>
  <c r="D407"/>
  <c r="D336"/>
  <c r="D405"/>
  <c r="D223"/>
  <c r="D355"/>
  <c r="D211"/>
  <c r="D351"/>
  <c r="D201"/>
  <c r="D341"/>
  <c r="E272"/>
  <c r="E337"/>
  <c r="E271"/>
  <c r="E336"/>
  <c r="D206"/>
  <c r="D279"/>
  <c r="D197"/>
  <c r="D271"/>
  <c r="D198"/>
  <c r="D272"/>
  <c r="E129"/>
  <c r="E200"/>
  <c r="E126"/>
  <c r="E197"/>
  <c r="D129"/>
  <c r="D200"/>
  <c r="E127"/>
  <c r="E198"/>
  <c r="H40"/>
  <c r="H39"/>
  <c r="H45"/>
  <c r="H75"/>
  <c r="H193"/>
  <c r="H22"/>
  <c r="C62" i="19"/>
  <c r="C68"/>
  <c r="A68"/>
  <c r="C1049" i="2" s="1"/>
  <c r="D64" i="19"/>
  <c r="C64"/>
  <c r="A62"/>
  <c r="G60"/>
  <c r="G59"/>
  <c r="A58"/>
  <c r="C386" i="2" s="1"/>
  <c r="C6" i="19"/>
  <c r="C40"/>
  <c r="G43"/>
  <c r="G18"/>
  <c r="G22"/>
  <c r="G23"/>
  <c r="G27"/>
  <c r="G28"/>
  <c r="G32"/>
  <c r="H19" i="2" s="1"/>
  <c r="G39" i="19"/>
  <c r="G17"/>
  <c r="G116"/>
  <c r="H18" i="2" l="1"/>
  <c r="H17"/>
  <c r="D1380"/>
  <c r="D1382"/>
  <c r="D1136"/>
  <c r="D1330"/>
  <c r="D1266"/>
  <c r="D1003"/>
  <c r="D1329"/>
  <c r="H1470"/>
  <c r="H21"/>
  <c r="H95"/>
  <c r="H30"/>
  <c r="H16"/>
  <c r="H963"/>
  <c r="H1477"/>
  <c r="H1408"/>
  <c r="H1468"/>
  <c r="H1464"/>
  <c r="H1467"/>
  <c r="H1465"/>
  <c r="D940"/>
  <c r="D1205"/>
  <c r="H1361"/>
  <c r="H1417"/>
  <c r="H1405"/>
  <c r="H1407"/>
  <c r="H1406"/>
  <c r="H1354"/>
  <c r="H1410"/>
  <c r="D1439"/>
  <c r="D1441"/>
  <c r="D1440"/>
  <c r="D1444"/>
  <c r="D1446"/>
  <c r="D1445"/>
  <c r="H1293"/>
  <c r="H1349"/>
  <c r="H1296"/>
  <c r="H1352"/>
  <c r="H1295"/>
  <c r="H1351"/>
  <c r="H1294"/>
  <c r="H1350"/>
  <c r="D1267"/>
  <c r="H1235"/>
  <c r="H1298"/>
  <c r="H1303"/>
  <c r="D1207"/>
  <c r="D1325"/>
  <c r="D1324"/>
  <c r="D1326"/>
  <c r="D1080"/>
  <c r="D1270"/>
  <c r="D1269"/>
  <c r="D1271"/>
  <c r="H1240"/>
  <c r="H1165"/>
  <c r="H1233"/>
  <c r="H1230"/>
  <c r="H1232"/>
  <c r="H1231"/>
  <c r="D627"/>
  <c r="D939"/>
  <c r="D1082"/>
  <c r="D1138"/>
  <c r="D816"/>
  <c r="D1202"/>
  <c r="D1201"/>
  <c r="D1203"/>
  <c r="D815"/>
  <c r="H1161"/>
  <c r="H1164"/>
  <c r="H1162"/>
  <c r="H1104"/>
  <c r="H1167"/>
  <c r="H1111"/>
  <c r="H1174"/>
  <c r="H1035"/>
  <c r="H1102"/>
  <c r="H1099"/>
  <c r="H1101"/>
  <c r="H1100"/>
  <c r="D1142"/>
  <c r="D1141"/>
  <c r="D1143"/>
  <c r="D1002"/>
  <c r="H975"/>
  <c r="H1047"/>
  <c r="H912"/>
  <c r="H1037"/>
  <c r="H1032"/>
  <c r="H1034"/>
  <c r="H1033"/>
  <c r="D808"/>
  <c r="D1076"/>
  <c r="D1075"/>
  <c r="D1077"/>
  <c r="D1072"/>
  <c r="D1071"/>
  <c r="D1073"/>
  <c r="H910"/>
  <c r="H966"/>
  <c r="H965"/>
  <c r="H964"/>
  <c r="D1006"/>
  <c r="D1008"/>
  <c r="D1005"/>
  <c r="D1007"/>
  <c r="H919"/>
  <c r="D943"/>
  <c r="D945"/>
  <c r="D942"/>
  <c r="D944"/>
  <c r="H907"/>
  <c r="H909"/>
  <c r="H908"/>
  <c r="D810"/>
  <c r="D883"/>
  <c r="D882"/>
  <c r="D884"/>
  <c r="H713"/>
  <c r="H776"/>
  <c r="H852"/>
  <c r="H783"/>
  <c r="H770"/>
  <c r="H840"/>
  <c r="H774"/>
  <c r="H843"/>
  <c r="H773"/>
  <c r="H842"/>
  <c r="H771"/>
  <c r="D624"/>
  <c r="D683"/>
  <c r="D623"/>
  <c r="D684"/>
  <c r="D629"/>
  <c r="D511"/>
  <c r="H720"/>
  <c r="D746"/>
  <c r="D745"/>
  <c r="D747"/>
  <c r="H650"/>
  <c r="H711"/>
  <c r="H707"/>
  <c r="H710"/>
  <c r="H708"/>
  <c r="D688"/>
  <c r="D687"/>
  <c r="D689"/>
  <c r="D510"/>
  <c r="H657"/>
  <c r="H595"/>
  <c r="H647"/>
  <c r="H597"/>
  <c r="H649"/>
  <c r="H596"/>
  <c r="H648"/>
  <c r="H600"/>
  <c r="H652"/>
  <c r="H532"/>
  <c r="H598"/>
  <c r="H605"/>
  <c r="H495"/>
  <c r="H456"/>
  <c r="D572"/>
  <c r="D571"/>
  <c r="D573"/>
  <c r="D568"/>
  <c r="D567"/>
  <c r="D569"/>
  <c r="H488"/>
  <c r="H535"/>
  <c r="H528"/>
  <c r="H529"/>
  <c r="H455"/>
  <c r="H377"/>
  <c r="H486"/>
  <c r="H485"/>
  <c r="H434"/>
  <c r="H435"/>
  <c r="D462"/>
  <c r="D464"/>
  <c r="D466"/>
  <c r="D468"/>
  <c r="D463"/>
  <c r="D465"/>
  <c r="D467"/>
  <c r="H379"/>
  <c r="H438"/>
  <c r="H386"/>
  <c r="H316"/>
  <c r="H373"/>
  <c r="H376"/>
  <c r="H374"/>
  <c r="D414"/>
  <c r="D416"/>
  <c r="D415"/>
  <c r="D417"/>
  <c r="H243"/>
  <c r="H241"/>
  <c r="H303"/>
  <c r="H240"/>
  <c r="H93"/>
  <c r="H244"/>
  <c r="H89"/>
  <c r="H92"/>
  <c r="H90"/>
  <c r="H253"/>
  <c r="H445"/>
  <c r="H1282"/>
  <c r="H362"/>
  <c r="H1453"/>
  <c r="H1219"/>
  <c r="H952"/>
  <c r="H696"/>
  <c r="H517"/>
  <c r="H292"/>
  <c r="H1394"/>
  <c r="H896"/>
  <c r="H636"/>
  <c r="H474"/>
  <c r="H1150"/>
  <c r="H229"/>
  <c r="H1338"/>
  <c r="H1088"/>
  <c r="H829"/>
  <c r="H423"/>
  <c r="H148"/>
  <c r="H1515"/>
  <c r="H1021"/>
  <c r="H759"/>
  <c r="H584"/>
  <c r="H78"/>
  <c r="B9" i="1" l="1"/>
  <c r="B7" i="21" s="1"/>
  <c r="A9" i="1"/>
  <c r="A7" i="21" s="1"/>
  <c r="B32" i="1"/>
  <c r="B30" i="21" s="1"/>
  <c r="A30"/>
  <c r="B31" i="1"/>
  <c r="B29" i="21" s="1"/>
  <c r="A29"/>
  <c r="B30" i="1"/>
  <c r="B28" i="21" s="1"/>
  <c r="A28"/>
  <c r="B29" i="1"/>
  <c r="B27" i="21" s="1"/>
  <c r="A27"/>
  <c r="B28" i="1"/>
  <c r="B26" i="21" s="1"/>
  <c r="A26"/>
  <c r="B27" i="1"/>
  <c r="B25" i="21" s="1"/>
  <c r="A25"/>
  <c r="B26" i="1"/>
  <c r="B24" i="21" s="1"/>
  <c r="A24"/>
  <c r="B25" i="1"/>
  <c r="B23" i="21" s="1"/>
  <c r="A23"/>
  <c r="B24" i="1"/>
  <c r="B22" i="21" s="1"/>
  <c r="A22"/>
  <c r="B23" i="1"/>
  <c r="B21" i="21" s="1"/>
  <c r="A21"/>
  <c r="B22" i="1"/>
  <c r="B20" i="21" s="1"/>
  <c r="A20"/>
  <c r="B21" i="1"/>
  <c r="B19" i="21" s="1"/>
  <c r="A19"/>
  <c r="B20" i="1"/>
  <c r="B18" i="21" s="1"/>
  <c r="A18"/>
  <c r="B19" i="1"/>
  <c r="B17" i="21" s="1"/>
  <c r="A17"/>
  <c r="B18" i="1"/>
  <c r="B16" i="21" s="1"/>
  <c r="A16"/>
  <c r="B17" i="1"/>
  <c r="B15" i="21" s="1"/>
  <c r="A15"/>
  <c r="B16" i="1"/>
  <c r="B14" i="21" s="1"/>
  <c r="A14"/>
  <c r="B15" i="1"/>
  <c r="B13" i="21" s="1"/>
  <c r="A13"/>
  <c r="B14" i="1"/>
  <c r="B12" i="21" s="1"/>
  <c r="A12"/>
  <c r="B13" i="1"/>
  <c r="B11" i="21" s="1"/>
  <c r="A11"/>
  <c r="B12" i="1"/>
  <c r="B10" i="21" s="1"/>
  <c r="A10"/>
  <c r="B11" i="1"/>
  <c r="B9" i="21" s="1"/>
  <c r="A9"/>
  <c r="B10" i="1"/>
  <c r="B8" i="21" s="1"/>
  <c r="A8"/>
  <c r="A4"/>
  <c r="A2" i="20"/>
  <c r="C1"/>
  <c r="I23"/>
  <c r="I21" s="1"/>
  <c r="I19"/>
  <c r="I13"/>
  <c r="I7"/>
  <c r="D115" i="19"/>
  <c r="D6"/>
  <c r="E4" i="2" l="1"/>
  <c r="D4"/>
  <c r="E2"/>
  <c r="D2"/>
  <c r="B1"/>
  <c r="B6" i="12"/>
  <c r="B5"/>
  <c r="B4"/>
  <c r="A1"/>
  <c r="B7" i="15"/>
  <c r="B6"/>
  <c r="B5"/>
  <c r="D2"/>
  <c r="D1"/>
  <c r="D137" i="18" l="1"/>
  <c r="D142"/>
  <c r="D73"/>
  <c r="D192"/>
  <c r="D190"/>
  <c r="D188"/>
  <c r="D167"/>
  <c r="D165"/>
  <c r="D112"/>
  <c r="D110"/>
  <c r="D106"/>
  <c r="D102"/>
  <c r="D80"/>
  <c r="D78"/>
  <c r="D75"/>
  <c r="D194"/>
  <c r="D53"/>
  <c r="D51"/>
  <c r="D38"/>
  <c r="D35"/>
  <c r="D32"/>
  <c r="D30"/>
  <c r="D28"/>
  <c r="D13"/>
  <c r="D11"/>
  <c r="D6"/>
  <c r="H9" i="19" l="1"/>
  <c r="H11"/>
  <c r="H12"/>
  <c r="H13"/>
  <c r="I13" s="1"/>
  <c r="J13" s="1"/>
  <c r="H343"/>
  <c r="H342"/>
  <c r="H344"/>
  <c r="H345"/>
  <c r="H346"/>
  <c r="H347"/>
  <c r="H348"/>
  <c r="H327"/>
  <c r="H335"/>
  <c r="H334"/>
  <c r="H336"/>
  <c r="H337"/>
  <c r="H338"/>
  <c r="H339"/>
  <c r="H340"/>
  <c r="I327"/>
  <c r="J327" s="1"/>
  <c r="H319"/>
  <c r="I319" s="1"/>
  <c r="J319" s="1"/>
  <c r="H326"/>
  <c r="H328"/>
  <c r="H329"/>
  <c r="H330"/>
  <c r="H331"/>
  <c r="H332"/>
  <c r="H311"/>
  <c r="I311" s="1"/>
  <c r="J311" s="1"/>
  <c r="H318"/>
  <c r="H320"/>
  <c r="H321"/>
  <c r="H322"/>
  <c r="H323"/>
  <c r="H324"/>
  <c r="H303"/>
  <c r="I303" s="1"/>
  <c r="J303" s="1"/>
  <c r="H312"/>
  <c r="H313"/>
  <c r="H314"/>
  <c r="H315"/>
  <c r="H316"/>
  <c r="H310"/>
  <c r="H304"/>
  <c r="H305"/>
  <c r="H306"/>
  <c r="H307"/>
  <c r="H308"/>
  <c r="H302"/>
  <c r="H295"/>
  <c r="H296"/>
  <c r="H297"/>
  <c r="H298"/>
  <c r="H299"/>
  <c r="H300"/>
  <c r="H294"/>
  <c r="H127"/>
  <c r="H287"/>
  <c r="H286"/>
  <c r="H288"/>
  <c r="H289"/>
  <c r="H290"/>
  <c r="H291"/>
  <c r="H292"/>
  <c r="I127"/>
  <c r="J127" s="1"/>
  <c r="J126" s="1"/>
  <c r="I1046" i="2" s="1"/>
  <c r="H271" i="19"/>
  <c r="H279"/>
  <c r="H278"/>
  <c r="H280"/>
  <c r="H281"/>
  <c r="H282"/>
  <c r="H283"/>
  <c r="H284"/>
  <c r="I271"/>
  <c r="J271" s="1"/>
  <c r="H270"/>
  <c r="H272"/>
  <c r="H273"/>
  <c r="H274"/>
  <c r="H275"/>
  <c r="H276"/>
  <c r="H263"/>
  <c r="H262"/>
  <c r="H264"/>
  <c r="H265"/>
  <c r="H266"/>
  <c r="H267"/>
  <c r="H268"/>
  <c r="H255"/>
  <c r="H254"/>
  <c r="H256"/>
  <c r="H257"/>
  <c r="H258"/>
  <c r="H259"/>
  <c r="H260"/>
  <c r="H247"/>
  <c r="H246"/>
  <c r="H248"/>
  <c r="H249"/>
  <c r="H250"/>
  <c r="H251"/>
  <c r="H252"/>
  <c r="H239"/>
  <c r="H238"/>
  <c r="H240"/>
  <c r="H241"/>
  <c r="H242"/>
  <c r="H243"/>
  <c r="H244"/>
  <c r="H210"/>
  <c r="H222"/>
  <c r="H221"/>
  <c r="H223"/>
  <c r="H224"/>
  <c r="H225"/>
  <c r="H226"/>
  <c r="H227"/>
  <c r="I210"/>
  <c r="J210" s="1"/>
  <c r="H209"/>
  <c r="H211"/>
  <c r="H212"/>
  <c r="H213"/>
  <c r="H214"/>
  <c r="H215"/>
  <c r="H202"/>
  <c r="H201"/>
  <c r="H203"/>
  <c r="H204"/>
  <c r="H205"/>
  <c r="H206"/>
  <c r="H207"/>
  <c r="H185"/>
  <c r="H194"/>
  <c r="H193"/>
  <c r="H195"/>
  <c r="H196"/>
  <c r="H197"/>
  <c r="H198"/>
  <c r="H199"/>
  <c r="I185"/>
  <c r="J185" s="1"/>
  <c r="H184"/>
  <c r="H186"/>
  <c r="H187"/>
  <c r="H188"/>
  <c r="H189"/>
  <c r="H190"/>
  <c r="H176"/>
  <c r="H178"/>
  <c r="H179"/>
  <c r="H180"/>
  <c r="H181"/>
  <c r="H182"/>
  <c r="H177"/>
  <c r="H169"/>
  <c r="H168"/>
  <c r="H170"/>
  <c r="H171"/>
  <c r="H172"/>
  <c r="H173"/>
  <c r="H174"/>
  <c r="H157"/>
  <c r="H158"/>
  <c r="H160"/>
  <c r="H156"/>
  <c r="H159"/>
  <c r="H161"/>
  <c r="H162"/>
  <c r="H153"/>
  <c r="H152"/>
  <c r="H151"/>
  <c r="H150"/>
  <c r="H147"/>
  <c r="H149"/>
  <c r="H148"/>
  <c r="I55"/>
  <c r="J55" s="1"/>
  <c r="I57"/>
  <c r="J57" s="1"/>
  <c r="I47"/>
  <c r="J47" s="1"/>
  <c r="I49"/>
  <c r="J49" s="1"/>
  <c r="H37"/>
  <c r="H38"/>
  <c r="I38" s="1"/>
  <c r="J38" s="1"/>
  <c r="H111"/>
  <c r="H110"/>
  <c r="H114"/>
  <c r="H109"/>
  <c r="H113"/>
  <c r="I113" s="1"/>
  <c r="J113" s="1"/>
  <c r="H112"/>
  <c r="I33"/>
  <c r="J33" s="1"/>
  <c r="H72"/>
  <c r="H65"/>
  <c r="I65" s="1"/>
  <c r="J65" s="1"/>
  <c r="H86"/>
  <c r="I86" s="1"/>
  <c r="J86" s="1"/>
  <c r="H59"/>
  <c r="I59" s="1"/>
  <c r="J59" s="1"/>
  <c r="H133"/>
  <c r="I133" s="1"/>
  <c r="J133" s="1"/>
  <c r="H80"/>
  <c r="I80" s="1"/>
  <c r="J80" s="1"/>
  <c r="H69"/>
  <c r="I69" s="1"/>
  <c r="J69" s="1"/>
  <c r="H234"/>
  <c r="I234" s="1"/>
  <c r="J234" s="1"/>
  <c r="H116"/>
  <c r="I116" s="1"/>
  <c r="J116" s="1"/>
  <c r="J115" s="1"/>
  <c r="I1282" i="2" s="1"/>
  <c r="J1282" s="1"/>
  <c r="J1283" s="1"/>
  <c r="H108" i="19"/>
  <c r="I108" s="1"/>
  <c r="J108" s="1"/>
  <c r="H70"/>
  <c r="I70" s="1"/>
  <c r="J70" s="1"/>
  <c r="H229"/>
  <c r="I229" s="1"/>
  <c r="J229" s="1"/>
  <c r="H134"/>
  <c r="I134" s="1"/>
  <c r="J134" s="1"/>
  <c r="H41"/>
  <c r="I41" s="1"/>
  <c r="J41" s="1"/>
  <c r="H66"/>
  <c r="I66" s="1"/>
  <c r="J66" s="1"/>
  <c r="H230"/>
  <c r="I230" s="1"/>
  <c r="J230" s="1"/>
  <c r="H87"/>
  <c r="I87" s="1"/>
  <c r="J87" s="1"/>
  <c r="H42"/>
  <c r="I42" s="1"/>
  <c r="J42" s="1"/>
  <c r="H20"/>
  <c r="I20" s="1"/>
  <c r="J20" s="1"/>
  <c r="H30"/>
  <c r="I30" s="1"/>
  <c r="J30" s="1"/>
  <c r="H81"/>
  <c r="I81" s="1"/>
  <c r="J81" s="1"/>
  <c r="H15"/>
  <c r="I15" s="1"/>
  <c r="J15" s="1"/>
  <c r="H25"/>
  <c r="I25" s="1"/>
  <c r="J25" s="1"/>
  <c r="H123"/>
  <c r="I123" s="1"/>
  <c r="J123" s="1"/>
  <c r="H137"/>
  <c r="I137" s="1"/>
  <c r="J137" s="1"/>
  <c r="H138"/>
  <c r="I138" s="1"/>
  <c r="J138" s="1"/>
  <c r="H235"/>
  <c r="I235" s="1"/>
  <c r="J235" s="1"/>
  <c r="H118"/>
  <c r="I118" s="1"/>
  <c r="J118" s="1"/>
  <c r="H125"/>
  <c r="I125" s="1"/>
  <c r="J125" s="1"/>
  <c r="H129"/>
  <c r="I129" s="1"/>
  <c r="J129" s="1"/>
  <c r="H130"/>
  <c r="I130" s="1"/>
  <c r="J130" s="1"/>
  <c r="I35"/>
  <c r="J35" s="1"/>
  <c r="I236"/>
  <c r="J236" s="1"/>
  <c r="I231"/>
  <c r="J231" s="1"/>
  <c r="I139"/>
  <c r="J139" s="1"/>
  <c r="I135"/>
  <c r="J135" s="1"/>
  <c r="I131"/>
  <c r="J131" s="1"/>
  <c r="I22"/>
  <c r="J22" s="1"/>
  <c r="I23"/>
  <c r="J23" s="1"/>
  <c r="I32"/>
  <c r="J32" s="1"/>
  <c r="I43"/>
  <c r="J43" s="1"/>
  <c r="I27"/>
  <c r="J27" s="1"/>
  <c r="I18"/>
  <c r="J18" s="1"/>
  <c r="I17"/>
  <c r="J17" s="1"/>
  <c r="I39"/>
  <c r="J39" s="1"/>
  <c r="I88"/>
  <c r="J88" s="1"/>
  <c r="I61"/>
  <c r="J61" s="1"/>
  <c r="I45"/>
  <c r="J45" s="1"/>
  <c r="I120"/>
  <c r="J120" s="1"/>
  <c r="I28"/>
  <c r="J28" s="1"/>
  <c r="I60"/>
  <c r="J60" s="1"/>
  <c r="I82"/>
  <c r="J82" s="1"/>
  <c r="I53"/>
  <c r="J53" s="1"/>
  <c r="I121"/>
  <c r="J121" s="1"/>
  <c r="I63"/>
  <c r="J63" s="1"/>
  <c r="J62" s="1"/>
  <c r="I119"/>
  <c r="J119" s="1"/>
  <c r="I67"/>
  <c r="J67" s="1"/>
  <c r="I31"/>
  <c r="J31" s="1"/>
  <c r="I26"/>
  <c r="J26" s="1"/>
  <c r="I21"/>
  <c r="J21" s="1"/>
  <c r="I16"/>
  <c r="J16" s="1"/>
  <c r="J40" l="1"/>
  <c r="I9"/>
  <c r="J9" s="1"/>
  <c r="I11"/>
  <c r="J11" s="1"/>
  <c r="I12"/>
  <c r="J12" s="1"/>
  <c r="I348"/>
  <c r="J348" s="1"/>
  <c r="I346"/>
  <c r="J346" s="1"/>
  <c r="I344"/>
  <c r="J344" s="1"/>
  <c r="I343"/>
  <c r="J343" s="1"/>
  <c r="I347"/>
  <c r="J347" s="1"/>
  <c r="I345"/>
  <c r="J345" s="1"/>
  <c r="I342"/>
  <c r="J342" s="1"/>
  <c r="I339"/>
  <c r="J339" s="1"/>
  <c r="I337"/>
  <c r="J337" s="1"/>
  <c r="I334"/>
  <c r="J334" s="1"/>
  <c r="I340"/>
  <c r="J340" s="1"/>
  <c r="I338"/>
  <c r="J338" s="1"/>
  <c r="I336"/>
  <c r="J336" s="1"/>
  <c r="I335"/>
  <c r="J335" s="1"/>
  <c r="I331"/>
  <c r="J331" s="1"/>
  <c r="I329"/>
  <c r="J329" s="1"/>
  <c r="I326"/>
  <c r="J326" s="1"/>
  <c r="I332"/>
  <c r="J332" s="1"/>
  <c r="I330"/>
  <c r="J330" s="1"/>
  <c r="I328"/>
  <c r="J328" s="1"/>
  <c r="I323"/>
  <c r="J323" s="1"/>
  <c r="I321"/>
  <c r="J321" s="1"/>
  <c r="I318"/>
  <c r="J318" s="1"/>
  <c r="I324"/>
  <c r="J324" s="1"/>
  <c r="I322"/>
  <c r="J322" s="1"/>
  <c r="I320"/>
  <c r="J320" s="1"/>
  <c r="I316"/>
  <c r="J316" s="1"/>
  <c r="I314"/>
  <c r="J314" s="1"/>
  <c r="I312"/>
  <c r="J312" s="1"/>
  <c r="I310"/>
  <c r="J310" s="1"/>
  <c r="I315"/>
  <c r="J315" s="1"/>
  <c r="I313"/>
  <c r="J313" s="1"/>
  <c r="I302"/>
  <c r="J302" s="1"/>
  <c r="I307"/>
  <c r="J307" s="1"/>
  <c r="I305"/>
  <c r="J305" s="1"/>
  <c r="I308"/>
  <c r="J308" s="1"/>
  <c r="I306"/>
  <c r="J306" s="1"/>
  <c r="I304"/>
  <c r="J304" s="1"/>
  <c r="I294"/>
  <c r="J294" s="1"/>
  <c r="I299"/>
  <c r="J299" s="1"/>
  <c r="I297"/>
  <c r="J297" s="1"/>
  <c r="I295"/>
  <c r="J295" s="1"/>
  <c r="I300"/>
  <c r="J300" s="1"/>
  <c r="I298"/>
  <c r="J298" s="1"/>
  <c r="I296"/>
  <c r="J296" s="1"/>
  <c r="I291"/>
  <c r="J291" s="1"/>
  <c r="I289"/>
  <c r="J289" s="1"/>
  <c r="I286"/>
  <c r="J286" s="1"/>
  <c r="I292"/>
  <c r="J292" s="1"/>
  <c r="I290"/>
  <c r="J290" s="1"/>
  <c r="I288"/>
  <c r="J288" s="1"/>
  <c r="I287"/>
  <c r="J287" s="1"/>
  <c r="I283"/>
  <c r="J283" s="1"/>
  <c r="I281"/>
  <c r="J281" s="1"/>
  <c r="I278"/>
  <c r="J278" s="1"/>
  <c r="I284"/>
  <c r="J284" s="1"/>
  <c r="I282"/>
  <c r="J282" s="1"/>
  <c r="I280"/>
  <c r="J280" s="1"/>
  <c r="I279"/>
  <c r="J279" s="1"/>
  <c r="I276"/>
  <c r="J276" s="1"/>
  <c r="I274"/>
  <c r="J274" s="1"/>
  <c r="I272"/>
  <c r="J272" s="1"/>
  <c r="I275"/>
  <c r="J275" s="1"/>
  <c r="I273"/>
  <c r="J273" s="1"/>
  <c r="I270"/>
  <c r="J270" s="1"/>
  <c r="I268"/>
  <c r="J268" s="1"/>
  <c r="I266"/>
  <c r="J266" s="1"/>
  <c r="I264"/>
  <c r="J264" s="1"/>
  <c r="I263"/>
  <c r="J263" s="1"/>
  <c r="I267"/>
  <c r="J267" s="1"/>
  <c r="I265"/>
  <c r="J265" s="1"/>
  <c r="I262"/>
  <c r="J262" s="1"/>
  <c r="I260"/>
  <c r="J260" s="1"/>
  <c r="I258"/>
  <c r="J258" s="1"/>
  <c r="I256"/>
  <c r="J256" s="1"/>
  <c r="I255"/>
  <c r="J255" s="1"/>
  <c r="I259"/>
  <c r="J259" s="1"/>
  <c r="I257"/>
  <c r="J257" s="1"/>
  <c r="I254"/>
  <c r="J254" s="1"/>
  <c r="I252"/>
  <c r="J252" s="1"/>
  <c r="I250"/>
  <c r="J250" s="1"/>
  <c r="I248"/>
  <c r="J248" s="1"/>
  <c r="I247"/>
  <c r="J247" s="1"/>
  <c r="I251"/>
  <c r="J251" s="1"/>
  <c r="I249"/>
  <c r="J249" s="1"/>
  <c r="I246"/>
  <c r="J246" s="1"/>
  <c r="I244"/>
  <c r="J244" s="1"/>
  <c r="I242"/>
  <c r="J242" s="1"/>
  <c r="I240"/>
  <c r="J240" s="1"/>
  <c r="I239"/>
  <c r="J239" s="1"/>
  <c r="I243"/>
  <c r="J243" s="1"/>
  <c r="I241"/>
  <c r="J241" s="1"/>
  <c r="I238"/>
  <c r="J238" s="1"/>
  <c r="J228"/>
  <c r="I667" i="2" s="1"/>
  <c r="J667" s="1"/>
  <c r="I226" i="19"/>
  <c r="J226" s="1"/>
  <c r="I224"/>
  <c r="J224" s="1"/>
  <c r="I221"/>
  <c r="J221" s="1"/>
  <c r="I227"/>
  <c r="J227" s="1"/>
  <c r="I225"/>
  <c r="J225" s="1"/>
  <c r="I223"/>
  <c r="J223" s="1"/>
  <c r="I222"/>
  <c r="J222" s="1"/>
  <c r="I215"/>
  <c r="J215" s="1"/>
  <c r="I213"/>
  <c r="J213" s="1"/>
  <c r="I211"/>
  <c r="J211" s="1"/>
  <c r="I214"/>
  <c r="J214" s="1"/>
  <c r="I212"/>
  <c r="J212" s="1"/>
  <c r="I209"/>
  <c r="J209" s="1"/>
  <c r="I207"/>
  <c r="J207" s="1"/>
  <c r="I205"/>
  <c r="J205" s="1"/>
  <c r="I203"/>
  <c r="J203" s="1"/>
  <c r="I202"/>
  <c r="J202" s="1"/>
  <c r="I206"/>
  <c r="J206" s="1"/>
  <c r="I204"/>
  <c r="J204" s="1"/>
  <c r="I201"/>
  <c r="J201" s="1"/>
  <c r="I198"/>
  <c r="J198" s="1"/>
  <c r="I196"/>
  <c r="J196" s="1"/>
  <c r="I193"/>
  <c r="J193" s="1"/>
  <c r="I199"/>
  <c r="J199" s="1"/>
  <c r="I197"/>
  <c r="J197" s="1"/>
  <c r="I195"/>
  <c r="J195" s="1"/>
  <c r="I194"/>
  <c r="J194" s="1"/>
  <c r="I190"/>
  <c r="J190" s="1"/>
  <c r="I188"/>
  <c r="J188" s="1"/>
  <c r="I186"/>
  <c r="J186" s="1"/>
  <c r="I189"/>
  <c r="J189" s="1"/>
  <c r="I187"/>
  <c r="J187" s="1"/>
  <c r="I184"/>
  <c r="J184" s="1"/>
  <c r="I177"/>
  <c r="J177" s="1"/>
  <c r="I181"/>
  <c r="J181" s="1"/>
  <c r="I179"/>
  <c r="J179" s="1"/>
  <c r="I176"/>
  <c r="J176" s="1"/>
  <c r="I182"/>
  <c r="J182" s="1"/>
  <c r="I180"/>
  <c r="J180" s="1"/>
  <c r="I178"/>
  <c r="J178" s="1"/>
  <c r="I174"/>
  <c r="J174" s="1"/>
  <c r="I172"/>
  <c r="J172" s="1"/>
  <c r="I170"/>
  <c r="J170" s="1"/>
  <c r="I169"/>
  <c r="J169" s="1"/>
  <c r="I173"/>
  <c r="J173" s="1"/>
  <c r="I171"/>
  <c r="J171" s="1"/>
  <c r="I168"/>
  <c r="J168" s="1"/>
  <c r="I162"/>
  <c r="J162" s="1"/>
  <c r="I159"/>
  <c r="J159" s="1"/>
  <c r="I160"/>
  <c r="J160" s="1"/>
  <c r="I157"/>
  <c r="J157" s="1"/>
  <c r="I161"/>
  <c r="J161" s="1"/>
  <c r="I156"/>
  <c r="J156" s="1"/>
  <c r="I158"/>
  <c r="J158" s="1"/>
  <c r="I148"/>
  <c r="J148" s="1"/>
  <c r="I147"/>
  <c r="J147" s="1"/>
  <c r="I151"/>
  <c r="J151" s="1"/>
  <c r="I153"/>
  <c r="J153" s="1"/>
  <c r="I149"/>
  <c r="J149" s="1"/>
  <c r="I150"/>
  <c r="J150" s="1"/>
  <c r="I152"/>
  <c r="J152" s="1"/>
  <c r="I798" i="2"/>
  <c r="J798" s="1"/>
  <c r="J14" i="19"/>
  <c r="I963" i="2" s="1"/>
  <c r="J963" s="1"/>
  <c r="J117" i="19"/>
  <c r="J85"/>
  <c r="J19"/>
  <c r="J24"/>
  <c r="I37"/>
  <c r="J37" s="1"/>
  <c r="J36" s="1"/>
  <c r="I114"/>
  <c r="J114" s="1"/>
  <c r="I111"/>
  <c r="J111" s="1"/>
  <c r="I112"/>
  <c r="J112" s="1"/>
  <c r="I109"/>
  <c r="J109" s="1"/>
  <c r="I110"/>
  <c r="J110" s="1"/>
  <c r="I72"/>
  <c r="J72" s="1"/>
  <c r="J64"/>
  <c r="I1478" i="2" s="1"/>
  <c r="J1478" s="1"/>
  <c r="J29" i="19"/>
  <c r="J52"/>
  <c r="J44"/>
  <c r="J58"/>
  <c r="I1477" i="2" s="1"/>
  <c r="J1477" s="1"/>
  <c r="J1041"/>
  <c r="J46" i="19"/>
  <c r="J48"/>
  <c r="I1357" i="2" s="1"/>
  <c r="J1357" s="1"/>
  <c r="J122" i="19"/>
  <c r="I1358" i="2" s="1"/>
  <c r="J1358" s="1"/>
  <c r="J1046"/>
  <c r="J56" i="19"/>
  <c r="J124"/>
  <c r="I1359" i="2" s="1"/>
  <c r="J1359" s="1"/>
  <c r="J54" i="19"/>
  <c r="I292" i="2"/>
  <c r="J292" s="1"/>
  <c r="J293" s="1"/>
  <c r="I948"/>
  <c r="J948" s="1"/>
  <c r="I287"/>
  <c r="J287" s="1"/>
  <c r="I1210"/>
  <c r="J1210" s="1"/>
  <c r="I945"/>
  <c r="J945" s="1"/>
  <c r="I212"/>
  <c r="J212" s="1"/>
  <c r="I1321"/>
  <c r="J1321" s="1"/>
  <c r="I879"/>
  <c r="J879" s="1"/>
  <c r="J128" i="19"/>
  <c r="I112" i="2" s="1"/>
  <c r="J112" s="1"/>
  <c r="J136" i="19"/>
  <c r="I184" i="2" s="1"/>
  <c r="J184" s="1"/>
  <c r="J132" i="19"/>
  <c r="J233"/>
  <c r="I696" i="2"/>
  <c r="J696" s="1"/>
  <c r="J697" s="1"/>
  <c r="I1219"/>
  <c r="J1219" s="1"/>
  <c r="J1220" s="1"/>
  <c r="J68" i="19"/>
  <c r="I229" i="2"/>
  <c r="J229" s="1"/>
  <c r="J230" s="1"/>
  <c r="I148"/>
  <c r="J148" s="1"/>
  <c r="J149" s="1"/>
  <c r="I896"/>
  <c r="J896" s="1"/>
  <c r="J897" s="1"/>
  <c r="I423"/>
  <c r="J423" s="1"/>
  <c r="J424" s="1"/>
  <c r="I829"/>
  <c r="J829" s="1"/>
  <c r="J830" s="1"/>
  <c r="I1338"/>
  <c r="J1338" s="1"/>
  <c r="J1339" s="1"/>
  <c r="I474"/>
  <c r="J474" s="1"/>
  <c r="J475" s="1"/>
  <c r="I1021"/>
  <c r="J1021" s="1"/>
  <c r="J1022" s="1"/>
  <c r="I78"/>
  <c r="J78" s="1"/>
  <c r="J79" s="1"/>
  <c r="I517"/>
  <c r="J517" s="1"/>
  <c r="J518" s="1"/>
  <c r="I952"/>
  <c r="J952" s="1"/>
  <c r="J953" s="1"/>
  <c r="I1453"/>
  <c r="J1453" s="1"/>
  <c r="J1454" s="1"/>
  <c r="I584"/>
  <c r="J584" s="1"/>
  <c r="J585" s="1"/>
  <c r="I1150"/>
  <c r="J1150" s="1"/>
  <c r="J1151" s="1"/>
  <c r="I362"/>
  <c r="J362" s="1"/>
  <c r="J363" s="1"/>
  <c r="I1088"/>
  <c r="J1088" s="1"/>
  <c r="J1089" s="1"/>
  <c r="I636"/>
  <c r="J636" s="1"/>
  <c r="J637" s="1"/>
  <c r="I759"/>
  <c r="J759" s="1"/>
  <c r="J760" s="1"/>
  <c r="I1394"/>
  <c r="J1394" s="1"/>
  <c r="J1395" s="1"/>
  <c r="I1515"/>
  <c r="J1515" s="1"/>
  <c r="J1516" s="1"/>
  <c r="I1482"/>
  <c r="J1482" s="1"/>
  <c r="I1481"/>
  <c r="J1481" s="1"/>
  <c r="J34" i="19"/>
  <c r="I22" i="2"/>
  <c r="J22" s="1"/>
  <c r="J75" i="19"/>
  <c r="J79"/>
  <c r="F97" i="9"/>
  <c r="C92" i="11"/>
  <c r="C91"/>
  <c r="C90"/>
  <c r="C89"/>
  <c r="C88"/>
  <c r="C87"/>
  <c r="C86"/>
  <c r="C85"/>
  <c r="C84"/>
  <c r="C83"/>
  <c r="C82"/>
  <c r="C81"/>
  <c r="C76"/>
  <c r="C75"/>
  <c r="C74"/>
  <c r="C73"/>
  <c r="C72"/>
  <c r="C71"/>
  <c r="C70"/>
  <c r="C69"/>
  <c r="C68"/>
  <c r="C67"/>
  <c r="C66"/>
  <c r="C65"/>
  <c r="C64"/>
  <c r="C63"/>
  <c r="C62"/>
  <c r="C61"/>
  <c r="C60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F7"/>
  <c r="B7"/>
  <c r="F6"/>
  <c r="B6"/>
  <c r="F107" i="9"/>
  <c r="B107"/>
  <c r="F104"/>
  <c r="B104"/>
  <c r="F94"/>
  <c r="F91"/>
  <c r="C91"/>
  <c r="F88"/>
  <c r="C88"/>
  <c r="F85"/>
  <c r="C85"/>
  <c r="F82"/>
  <c r="C82"/>
  <c r="F79"/>
  <c r="C79"/>
  <c r="F76"/>
  <c r="C76"/>
  <c r="F73"/>
  <c r="C73"/>
  <c r="F70"/>
  <c r="C70"/>
  <c r="F67"/>
  <c r="C67"/>
  <c r="F64"/>
  <c r="C64"/>
  <c r="F61"/>
  <c r="C61"/>
  <c r="F58"/>
  <c r="C58"/>
  <c r="F55"/>
  <c r="C55"/>
  <c r="F52"/>
  <c r="C52"/>
  <c r="F49"/>
  <c r="C49"/>
  <c r="F46"/>
  <c r="C46"/>
  <c r="F43"/>
  <c r="C43"/>
  <c r="F40"/>
  <c r="C40"/>
  <c r="F37"/>
  <c r="C37"/>
  <c r="F34"/>
  <c r="C34"/>
  <c r="F31"/>
  <c r="C31"/>
  <c r="F28"/>
  <c r="C28"/>
  <c r="F25"/>
  <c r="C25"/>
  <c r="F22"/>
  <c r="C22"/>
  <c r="F19"/>
  <c r="C19"/>
  <c r="F16"/>
  <c r="C16"/>
  <c r="F13"/>
  <c r="C13"/>
  <c r="F10"/>
  <c r="C10"/>
  <c r="F7"/>
  <c r="C7"/>
  <c r="B3"/>
  <c r="J10" i="19" l="1"/>
  <c r="J146"/>
  <c r="I145" i="2" s="1"/>
  <c r="J145" s="1"/>
  <c r="J8" i="19"/>
  <c r="I308" i="2" s="1"/>
  <c r="I1479"/>
  <c r="J1479" s="1"/>
  <c r="I15"/>
  <c r="J15" s="1"/>
  <c r="J71" i="19"/>
  <c r="I1364" i="2" s="1"/>
  <c r="J1364" s="1"/>
  <c r="J341" i="19"/>
  <c r="I1512" i="2" s="1"/>
  <c r="J1512" s="1"/>
  <c r="J333" i="19"/>
  <c r="I1450" i="2" s="1"/>
  <c r="J1450" s="1"/>
  <c r="J325" i="19"/>
  <c r="I1391" i="2" s="1"/>
  <c r="J1391" s="1"/>
  <c r="J317" i="19"/>
  <c r="I1335" i="2" s="1"/>
  <c r="J1335" s="1"/>
  <c r="J309" i="19"/>
  <c r="I1279" i="2" s="1"/>
  <c r="J1279" s="1"/>
  <c r="J301" i="19"/>
  <c r="I1216" i="2" s="1"/>
  <c r="J1216" s="1"/>
  <c r="J293" i="19"/>
  <c r="I1147" i="2" s="1"/>
  <c r="J1147" s="1"/>
  <c r="J285" i="19"/>
  <c r="I1085" i="2" s="1"/>
  <c r="J1085" s="1"/>
  <c r="J277" i="19"/>
  <c r="I1018" i="2" s="1"/>
  <c r="J1018" s="1"/>
  <c r="J269" i="19"/>
  <c r="I949" i="2" s="1"/>
  <c r="J949" s="1"/>
  <c r="J303"/>
  <c r="I907"/>
  <c r="J907" s="1"/>
  <c r="J253" i="19"/>
  <c r="I826" i="2" s="1"/>
  <c r="J826" s="1"/>
  <c r="J261" i="19"/>
  <c r="I893" i="2" s="1"/>
  <c r="J893" s="1"/>
  <c r="J245" i="19"/>
  <c r="I756" i="2" s="1"/>
  <c r="J756" s="1"/>
  <c r="J237" i="19"/>
  <c r="I693" i="2" s="1"/>
  <c r="J693" s="1"/>
  <c r="J220" i="19"/>
  <c r="I633" i="2" s="1"/>
  <c r="J633" s="1"/>
  <c r="J208" i="19"/>
  <c r="I581" i="2" s="1"/>
  <c r="J581" s="1"/>
  <c r="J200" i="19"/>
  <c r="I514" i="2" s="1"/>
  <c r="J514" s="1"/>
  <c r="J192" i="19"/>
  <c r="I471" i="2" s="1"/>
  <c r="J471" s="1"/>
  <c r="J183" i="19"/>
  <c r="I420" i="2" s="1"/>
  <c r="J420" s="1"/>
  <c r="J175" i="19"/>
  <c r="I359" i="2" s="1"/>
  <c r="J359" s="1"/>
  <c r="J167" i="19"/>
  <c r="I289" i="2" s="1"/>
  <c r="J289" s="1"/>
  <c r="J155" i="19"/>
  <c r="I226" i="2" s="1"/>
  <c r="J226" s="1"/>
  <c r="I533"/>
  <c r="J533" s="1"/>
  <c r="J107" i="19"/>
  <c r="I75" i="2" s="1"/>
  <c r="J75" s="1"/>
  <c r="I560"/>
  <c r="J560" s="1"/>
  <c r="I1261"/>
  <c r="J1261" s="1"/>
  <c r="I887"/>
  <c r="J887" s="1"/>
  <c r="I1211"/>
  <c r="J1211" s="1"/>
  <c r="I1011"/>
  <c r="J1011" s="1"/>
  <c r="I1213"/>
  <c r="J1213" s="1"/>
  <c r="I209"/>
  <c r="J209" s="1"/>
  <c r="I1448"/>
  <c r="J1448" s="1"/>
  <c r="I754"/>
  <c r="J754" s="1"/>
  <c r="I1197"/>
  <c r="J1197" s="1"/>
  <c r="I943"/>
  <c r="J943" s="1"/>
  <c r="I338"/>
  <c r="J338" s="1"/>
  <c r="I1435"/>
  <c r="J1435" s="1"/>
  <c r="I1312"/>
  <c r="J1312" s="1"/>
  <c r="I942"/>
  <c r="J942" s="1"/>
  <c r="I741"/>
  <c r="J741" s="1"/>
  <c r="I666"/>
  <c r="J666" s="1"/>
  <c r="I225"/>
  <c r="J225" s="1"/>
  <c r="I986"/>
  <c r="J986" s="1"/>
  <c r="I395"/>
  <c r="J395" s="1"/>
  <c r="I944"/>
  <c r="J944" s="1"/>
  <c r="I825"/>
  <c r="J825" s="1"/>
  <c r="I128"/>
  <c r="J128" s="1"/>
  <c r="I507"/>
  <c r="J507" s="1"/>
  <c r="I888"/>
  <c r="J888" s="1"/>
  <c r="I946"/>
  <c r="J946" s="1"/>
  <c r="I356"/>
  <c r="J356" s="1"/>
  <c r="I1214"/>
  <c r="I406"/>
  <c r="J406" s="1"/>
  <c r="I997"/>
  <c r="J997" s="1"/>
  <c r="I886"/>
  <c r="J886" s="1"/>
  <c r="I1212"/>
  <c r="J1212" s="1"/>
  <c r="I1509"/>
  <c r="J1509" s="1"/>
  <c r="I631"/>
  <c r="J631" s="1"/>
  <c r="I1511"/>
  <c r="J1511" s="1"/>
  <c r="I211"/>
  <c r="J211" s="1"/>
  <c r="I384"/>
  <c r="J384" s="1"/>
  <c r="I325"/>
  <c r="J325" s="1"/>
  <c r="I1486"/>
  <c r="J1486" s="1"/>
  <c r="I1120"/>
  <c r="J1120" s="1"/>
  <c r="I210"/>
  <c r="J210" s="1"/>
  <c r="I1013"/>
  <c r="J1013" s="1"/>
  <c r="I1012"/>
  <c r="J1012" s="1"/>
  <c r="I1209"/>
  <c r="J1209" s="1"/>
  <c r="I143"/>
  <c r="J143" s="1"/>
  <c r="I1145"/>
  <c r="J1145" s="1"/>
  <c r="I579"/>
  <c r="J579" s="1"/>
  <c r="I1277"/>
  <c r="J1277" s="1"/>
  <c r="I891"/>
  <c r="J891" s="1"/>
  <c r="I144"/>
  <c r="J144" s="1"/>
  <c r="I1010"/>
  <c r="J1010" s="1"/>
  <c r="I889"/>
  <c r="J889" s="1"/>
  <c r="I890"/>
  <c r="J890" s="1"/>
  <c r="I513"/>
  <c r="J513" s="1"/>
  <c r="I1016"/>
  <c r="J1016" s="1"/>
  <c r="I1271"/>
  <c r="J1271" s="1"/>
  <c r="I1270"/>
  <c r="J1270" s="1"/>
  <c r="I1207"/>
  <c r="J1207" s="1"/>
  <c r="I1269"/>
  <c r="J1269" s="1"/>
  <c r="I1268"/>
  <c r="J1268" s="1"/>
  <c r="I1206"/>
  <c r="J1206" s="1"/>
  <c r="I1205"/>
  <c r="J1205" s="1"/>
  <c r="I1204"/>
  <c r="J1204" s="1"/>
  <c r="I1076"/>
  <c r="J1076" s="1"/>
  <c r="I1075"/>
  <c r="J1075" s="1"/>
  <c r="I1074"/>
  <c r="J1074" s="1"/>
  <c r="I1077"/>
  <c r="J1077" s="1"/>
  <c r="I573"/>
  <c r="J573" s="1"/>
  <c r="I572"/>
  <c r="J572" s="1"/>
  <c r="I811"/>
  <c r="J811" s="1"/>
  <c r="I571"/>
  <c r="J571" s="1"/>
  <c r="I570"/>
  <c r="J570" s="1"/>
  <c r="I280"/>
  <c r="J280" s="1"/>
  <c r="I279"/>
  <c r="J279" s="1"/>
  <c r="I278"/>
  <c r="J278" s="1"/>
  <c r="I281"/>
  <c r="J281" s="1"/>
  <c r="I1108"/>
  <c r="J1108" s="1"/>
  <c r="I1508"/>
  <c r="J1508" s="1"/>
  <c r="I1208"/>
  <c r="J1208" s="1"/>
  <c r="I1505"/>
  <c r="J1505" s="1"/>
  <c r="I1506"/>
  <c r="J1506" s="1"/>
  <c r="I1507"/>
  <c r="J1507" s="1"/>
  <c r="I885"/>
  <c r="J885" s="1"/>
  <c r="I1009"/>
  <c r="J1009" s="1"/>
  <c r="I819"/>
  <c r="J819" s="1"/>
  <c r="I818"/>
  <c r="J818" s="1"/>
  <c r="I821"/>
  <c r="J821" s="1"/>
  <c r="I820"/>
  <c r="J820" s="1"/>
  <c r="I755"/>
  <c r="J755" s="1"/>
  <c r="I288"/>
  <c r="J288" s="1"/>
  <c r="I580"/>
  <c r="J580" s="1"/>
  <c r="I824"/>
  <c r="J824" s="1"/>
  <c r="I1510"/>
  <c r="J1510" s="1"/>
  <c r="I1278"/>
  <c r="J1278" s="1"/>
  <c r="I1390"/>
  <c r="J1390" s="1"/>
  <c r="I692"/>
  <c r="J692" s="1"/>
  <c r="I358"/>
  <c r="J358" s="1"/>
  <c r="I1017"/>
  <c r="J1017" s="1"/>
  <c r="I1215"/>
  <c r="I892"/>
  <c r="J892" s="1"/>
  <c r="I1005"/>
  <c r="J1005" s="1"/>
  <c r="I1006"/>
  <c r="J1006" s="1"/>
  <c r="I1008"/>
  <c r="J1008" s="1"/>
  <c r="I1007"/>
  <c r="J1007" s="1"/>
  <c r="I941"/>
  <c r="J941" s="1"/>
  <c r="I416"/>
  <c r="J416" s="1"/>
  <c r="I417"/>
  <c r="J417" s="1"/>
  <c r="I415"/>
  <c r="J415" s="1"/>
  <c r="I414"/>
  <c r="J414" s="1"/>
  <c r="I1387"/>
  <c r="J1387" s="1"/>
  <c r="I1386"/>
  <c r="J1386" s="1"/>
  <c r="I1504"/>
  <c r="J1504" s="1"/>
  <c r="I1273"/>
  <c r="J1273" s="1"/>
  <c r="I1384"/>
  <c r="J1384" s="1"/>
  <c r="I1275"/>
  <c r="J1275" s="1"/>
  <c r="I1274"/>
  <c r="J1274" s="1"/>
  <c r="I1385"/>
  <c r="J1385" s="1"/>
  <c r="I1276"/>
  <c r="J1276" s="1"/>
  <c r="I817"/>
  <c r="J817" s="1"/>
  <c r="I752"/>
  <c r="J752" s="1"/>
  <c r="I751"/>
  <c r="J751" s="1"/>
  <c r="I749"/>
  <c r="J749" s="1"/>
  <c r="I284"/>
  <c r="J284" s="1"/>
  <c r="I353"/>
  <c r="J353" s="1"/>
  <c r="I352"/>
  <c r="J352" s="1"/>
  <c r="I286"/>
  <c r="J286" s="1"/>
  <c r="I285"/>
  <c r="J285" s="1"/>
  <c r="I354"/>
  <c r="J354" s="1"/>
  <c r="I351"/>
  <c r="J351" s="1"/>
  <c r="I576"/>
  <c r="J576" s="1"/>
  <c r="I575"/>
  <c r="J575" s="1"/>
  <c r="I750"/>
  <c r="J750" s="1"/>
  <c r="I578"/>
  <c r="J578" s="1"/>
  <c r="I577"/>
  <c r="J577" s="1"/>
  <c r="I283"/>
  <c r="J283" s="1"/>
  <c r="I1272"/>
  <c r="J1272" s="1"/>
  <c r="I1383"/>
  <c r="J1383" s="1"/>
  <c r="I748"/>
  <c r="J748" s="1"/>
  <c r="I512"/>
  <c r="J512" s="1"/>
  <c r="I282"/>
  <c r="J282" s="1"/>
  <c r="I574"/>
  <c r="J574" s="1"/>
  <c r="I346"/>
  <c r="J346" s="1"/>
  <c r="I1084"/>
  <c r="J1084" s="1"/>
  <c r="I691"/>
  <c r="J691" s="1"/>
  <c r="I357"/>
  <c r="J357" s="1"/>
  <c r="I1389"/>
  <c r="J1389" s="1"/>
  <c r="I224"/>
  <c r="J224" s="1"/>
  <c r="I1449"/>
  <c r="J1449" s="1"/>
  <c r="I823"/>
  <c r="J823" s="1"/>
  <c r="I632"/>
  <c r="J632" s="1"/>
  <c r="I418"/>
  <c r="J418" s="1"/>
  <c r="I1334"/>
  <c r="J1334" s="1"/>
  <c r="I1014"/>
  <c r="J1014" s="1"/>
  <c r="I1146"/>
  <c r="J1146" s="1"/>
  <c r="I1333"/>
  <c r="J1333" s="1"/>
  <c r="I470"/>
  <c r="J470" s="1"/>
  <c r="I1015"/>
  <c r="J1015" s="1"/>
  <c r="I419"/>
  <c r="J419" s="1"/>
  <c r="I947"/>
  <c r="J947" s="1"/>
  <c r="I1004"/>
  <c r="J1004" s="1"/>
  <c r="I1446"/>
  <c r="J1446" s="1"/>
  <c r="I1445"/>
  <c r="J1445" s="1"/>
  <c r="I1444"/>
  <c r="J1444" s="1"/>
  <c r="I1330"/>
  <c r="J1330" s="1"/>
  <c r="I1329"/>
  <c r="J1329" s="1"/>
  <c r="I1443"/>
  <c r="J1443" s="1"/>
  <c r="I1331"/>
  <c r="J1331" s="1"/>
  <c r="I1328"/>
  <c r="J1328" s="1"/>
  <c r="I1143"/>
  <c r="J1143" s="1"/>
  <c r="I1142"/>
  <c r="J1142" s="1"/>
  <c r="I1082"/>
  <c r="J1082" s="1"/>
  <c r="I1081"/>
  <c r="J1081" s="1"/>
  <c r="I1080"/>
  <c r="J1080" s="1"/>
  <c r="I1141"/>
  <c r="J1141" s="1"/>
  <c r="I1140"/>
  <c r="J1140" s="1"/>
  <c r="I1079"/>
  <c r="J1079" s="1"/>
  <c r="I628"/>
  <c r="J628" s="1"/>
  <c r="I627"/>
  <c r="J627" s="1"/>
  <c r="I626"/>
  <c r="J626" s="1"/>
  <c r="I687"/>
  <c r="J687" s="1"/>
  <c r="I347"/>
  <c r="J347" s="1"/>
  <c r="I629"/>
  <c r="J629" s="1"/>
  <c r="I686"/>
  <c r="J686" s="1"/>
  <c r="I689"/>
  <c r="J689" s="1"/>
  <c r="I688"/>
  <c r="J688" s="1"/>
  <c r="I349"/>
  <c r="J349" s="1"/>
  <c r="I348"/>
  <c r="J348" s="1"/>
  <c r="I814"/>
  <c r="J814" s="1"/>
  <c r="I813"/>
  <c r="J813" s="1"/>
  <c r="I466"/>
  <c r="J466" s="1"/>
  <c r="I413"/>
  <c r="J413" s="1"/>
  <c r="I350"/>
  <c r="J350" s="1"/>
  <c r="I816"/>
  <c r="J816" s="1"/>
  <c r="I815"/>
  <c r="J815" s="1"/>
  <c r="I468"/>
  <c r="J468" s="1"/>
  <c r="I467"/>
  <c r="J467" s="1"/>
  <c r="I214"/>
  <c r="J214" s="1"/>
  <c r="I217"/>
  <c r="J217" s="1"/>
  <c r="I215"/>
  <c r="J215" s="1"/>
  <c r="I216"/>
  <c r="J216" s="1"/>
  <c r="I1500"/>
  <c r="J1500" s="1"/>
  <c r="I1441"/>
  <c r="J1441" s="1"/>
  <c r="I1440"/>
  <c r="J1440" s="1"/>
  <c r="I1325"/>
  <c r="J1325" s="1"/>
  <c r="I1324"/>
  <c r="J1324" s="1"/>
  <c r="I1323"/>
  <c r="J1323" s="1"/>
  <c r="I1138"/>
  <c r="J1138" s="1"/>
  <c r="I1137"/>
  <c r="J1137" s="1"/>
  <c r="I1003"/>
  <c r="J1003" s="1"/>
  <c r="I1002"/>
  <c r="J1002" s="1"/>
  <c r="I882"/>
  <c r="J882" s="1"/>
  <c r="I881"/>
  <c r="J881" s="1"/>
  <c r="I683"/>
  <c r="J683" s="1"/>
  <c r="I682"/>
  <c r="J682" s="1"/>
  <c r="I412"/>
  <c r="J412" s="1"/>
  <c r="I411"/>
  <c r="J411" s="1"/>
  <c r="I275"/>
  <c r="J275" s="1"/>
  <c r="I1501"/>
  <c r="J1501" s="1"/>
  <c r="I1379"/>
  <c r="J1379" s="1"/>
  <c r="I1326"/>
  <c r="J1326" s="1"/>
  <c r="I1264"/>
  <c r="J1264" s="1"/>
  <c r="I1202"/>
  <c r="J1202" s="1"/>
  <c r="I1201"/>
  <c r="J1201" s="1"/>
  <c r="I1200"/>
  <c r="J1200" s="1"/>
  <c r="I1071"/>
  <c r="J1071" s="1"/>
  <c r="I1070"/>
  <c r="J1070" s="1"/>
  <c r="I884"/>
  <c r="J884" s="1"/>
  <c r="I883"/>
  <c r="J883" s="1"/>
  <c r="I747"/>
  <c r="J747" s="1"/>
  <c r="I746"/>
  <c r="J746" s="1"/>
  <c r="I745"/>
  <c r="J745" s="1"/>
  <c r="I744"/>
  <c r="J744" s="1"/>
  <c r="I684"/>
  <c r="J684" s="1"/>
  <c r="I567"/>
  <c r="J567" s="1"/>
  <c r="I463"/>
  <c r="J463" s="1"/>
  <c r="I462"/>
  <c r="J462" s="1"/>
  <c r="I461"/>
  <c r="J461" s="1"/>
  <c r="I277"/>
  <c r="J277" s="1"/>
  <c r="I1503"/>
  <c r="J1503" s="1"/>
  <c r="I1502"/>
  <c r="J1502" s="1"/>
  <c r="I1438"/>
  <c r="J1438" s="1"/>
  <c r="I1381"/>
  <c r="J1381" s="1"/>
  <c r="I1380"/>
  <c r="J1380" s="1"/>
  <c r="I1265"/>
  <c r="J1265" s="1"/>
  <c r="I1203"/>
  <c r="J1203" s="1"/>
  <c r="I1135"/>
  <c r="J1135" s="1"/>
  <c r="I1073"/>
  <c r="J1073" s="1"/>
  <c r="I1072"/>
  <c r="J1072" s="1"/>
  <c r="I939"/>
  <c r="J939" s="1"/>
  <c r="I938"/>
  <c r="J938" s="1"/>
  <c r="I937"/>
  <c r="J937" s="1"/>
  <c r="I808"/>
  <c r="J808" s="1"/>
  <c r="I807"/>
  <c r="J807" s="1"/>
  <c r="I569"/>
  <c r="J569" s="1"/>
  <c r="I568"/>
  <c r="J568" s="1"/>
  <c r="I566"/>
  <c r="J566" s="1"/>
  <c r="I623"/>
  <c r="J623" s="1"/>
  <c r="I622"/>
  <c r="J622" s="1"/>
  <c r="I621"/>
  <c r="J621" s="1"/>
  <c r="I509"/>
  <c r="J509" s="1"/>
  <c r="I508"/>
  <c r="J508" s="1"/>
  <c r="I464"/>
  <c r="J464" s="1"/>
  <c r="I342"/>
  <c r="J342" s="1"/>
  <c r="I341"/>
  <c r="J341" s="1"/>
  <c r="I1439"/>
  <c r="J1439" s="1"/>
  <c r="I1382"/>
  <c r="J1382" s="1"/>
  <c r="I1267"/>
  <c r="J1267" s="1"/>
  <c r="I1266"/>
  <c r="J1266" s="1"/>
  <c r="I1136"/>
  <c r="J1136" s="1"/>
  <c r="I1001"/>
  <c r="J1001" s="1"/>
  <c r="I1000"/>
  <c r="J1000" s="1"/>
  <c r="I940"/>
  <c r="J940" s="1"/>
  <c r="I810"/>
  <c r="J810" s="1"/>
  <c r="I809"/>
  <c r="J809" s="1"/>
  <c r="I681"/>
  <c r="J681" s="1"/>
  <c r="I624"/>
  <c r="J624" s="1"/>
  <c r="I511"/>
  <c r="J511" s="1"/>
  <c r="I510"/>
  <c r="J510" s="1"/>
  <c r="I410"/>
  <c r="J410" s="1"/>
  <c r="I409"/>
  <c r="J409" s="1"/>
  <c r="I344"/>
  <c r="J344" s="1"/>
  <c r="I343"/>
  <c r="J343" s="1"/>
  <c r="I276"/>
  <c r="J276" s="1"/>
  <c r="I274"/>
  <c r="J274" s="1"/>
  <c r="I1083"/>
  <c r="J1083" s="1"/>
  <c r="I1447"/>
  <c r="J1447" s="1"/>
  <c r="I1388"/>
  <c r="J1388" s="1"/>
  <c r="I1332"/>
  <c r="J1332" s="1"/>
  <c r="I1144"/>
  <c r="J1144" s="1"/>
  <c r="I822"/>
  <c r="J822" s="1"/>
  <c r="I753"/>
  <c r="J753" s="1"/>
  <c r="I690"/>
  <c r="J690" s="1"/>
  <c r="I223"/>
  <c r="J223" s="1"/>
  <c r="I630"/>
  <c r="J630" s="1"/>
  <c r="I469"/>
  <c r="J469" s="1"/>
  <c r="I355"/>
  <c r="J355" s="1"/>
  <c r="I1327"/>
  <c r="J1327" s="1"/>
  <c r="I1139"/>
  <c r="J1139" s="1"/>
  <c r="I1442"/>
  <c r="J1442" s="1"/>
  <c r="I1078"/>
  <c r="J1078" s="1"/>
  <c r="I465"/>
  <c r="J465" s="1"/>
  <c r="I625"/>
  <c r="J625" s="1"/>
  <c r="I812"/>
  <c r="J812" s="1"/>
  <c r="I685"/>
  <c r="J685" s="1"/>
  <c r="I345"/>
  <c r="J345" s="1"/>
  <c r="I213"/>
  <c r="J213" s="1"/>
  <c r="I250"/>
  <c r="J250" s="1"/>
  <c r="I204"/>
  <c r="J204" s="1"/>
  <c r="I203"/>
  <c r="J203" s="1"/>
  <c r="I202"/>
  <c r="J202" s="1"/>
  <c r="I201"/>
  <c r="J201" s="1"/>
  <c r="I133"/>
  <c r="J133" s="1"/>
  <c r="I132"/>
  <c r="J132" s="1"/>
  <c r="I131"/>
  <c r="J131" s="1"/>
  <c r="I130"/>
  <c r="J130" s="1"/>
  <c r="I170"/>
  <c r="J170" s="1"/>
  <c r="I222"/>
  <c r="J222" s="1"/>
  <c r="I218"/>
  <c r="J218" s="1"/>
  <c r="I139"/>
  <c r="J139" s="1"/>
  <c r="I221"/>
  <c r="J221" s="1"/>
  <c r="I142"/>
  <c r="J142" s="1"/>
  <c r="I138"/>
  <c r="J138" s="1"/>
  <c r="I220"/>
  <c r="J220" s="1"/>
  <c r="I141"/>
  <c r="J141" s="1"/>
  <c r="I219"/>
  <c r="J219" s="1"/>
  <c r="I140"/>
  <c r="J140" s="1"/>
  <c r="I207"/>
  <c r="J207" s="1"/>
  <c r="I206"/>
  <c r="J206" s="1"/>
  <c r="I205"/>
  <c r="J205" s="1"/>
  <c r="I208"/>
  <c r="J208" s="1"/>
  <c r="I136"/>
  <c r="J136" s="1"/>
  <c r="I135"/>
  <c r="J135" s="1"/>
  <c r="I134"/>
  <c r="J134" s="1"/>
  <c r="I137"/>
  <c r="J137" s="1"/>
  <c r="I539"/>
  <c r="J539" s="1"/>
  <c r="I973"/>
  <c r="J973" s="1"/>
  <c r="I333"/>
  <c r="J333" s="1"/>
  <c r="I1126"/>
  <c r="J1126" s="1"/>
  <c r="I1253"/>
  <c r="J1253" s="1"/>
  <c r="I114"/>
  <c r="J114" s="1"/>
  <c r="I873"/>
  <c r="J873" s="1"/>
  <c r="I401"/>
  <c r="J401" s="1"/>
  <c r="I851"/>
  <c r="J851" s="1"/>
  <c r="I1322"/>
  <c r="J1322" s="1"/>
  <c r="I1378"/>
  <c r="J1378" s="1"/>
  <c r="I1199"/>
  <c r="J1199" s="1"/>
  <c r="I936"/>
  <c r="J936" s="1"/>
  <c r="I1437"/>
  <c r="J1437" s="1"/>
  <c r="I1499"/>
  <c r="J1499" s="1"/>
  <c r="I999"/>
  <c r="J999" s="1"/>
  <c r="I1263"/>
  <c r="J1263" s="1"/>
  <c r="I1069"/>
  <c r="J1069" s="1"/>
  <c r="I1134"/>
  <c r="J1134" s="1"/>
  <c r="I806"/>
  <c r="J806" s="1"/>
  <c r="I565"/>
  <c r="J565" s="1"/>
  <c r="I743"/>
  <c r="J743" s="1"/>
  <c r="I680"/>
  <c r="J680" s="1"/>
  <c r="I340"/>
  <c r="J340" s="1"/>
  <c r="I408"/>
  <c r="J408" s="1"/>
  <c r="I972"/>
  <c r="J972" s="1"/>
  <c r="I494"/>
  <c r="J494" s="1"/>
  <c r="I251"/>
  <c r="J251" s="1"/>
  <c r="I1415"/>
  <c r="J1415" s="1"/>
  <c r="I199"/>
  <c r="J199" s="1"/>
  <c r="I1132"/>
  <c r="J1132" s="1"/>
  <c r="I678"/>
  <c r="J678" s="1"/>
  <c r="I273"/>
  <c r="J273" s="1"/>
  <c r="I620"/>
  <c r="J620" s="1"/>
  <c r="I1491"/>
  <c r="J1491" s="1"/>
  <c r="I671"/>
  <c r="J671" s="1"/>
  <c r="I717"/>
  <c r="J717" s="1"/>
  <c r="I1171"/>
  <c r="J1171" s="1"/>
  <c r="I656"/>
  <c r="J656" s="1"/>
  <c r="I1497"/>
  <c r="J1497" s="1"/>
  <c r="I1320"/>
  <c r="J1320" s="1"/>
  <c r="I1430"/>
  <c r="J1430" s="1"/>
  <c r="I1492"/>
  <c r="J1492" s="1"/>
  <c r="I984"/>
  <c r="J984" s="1"/>
  <c r="I928"/>
  <c r="J928" s="1"/>
  <c r="I553"/>
  <c r="J553" s="1"/>
  <c r="I1184"/>
  <c r="J1184" s="1"/>
  <c r="I1487"/>
  <c r="J1487" s="1"/>
  <c r="I396"/>
  <c r="J396" s="1"/>
  <c r="I792"/>
  <c r="J792" s="1"/>
  <c r="I864"/>
  <c r="J864" s="1"/>
  <c r="I99"/>
  <c r="J99" s="1"/>
  <c r="I780"/>
  <c r="J780" s="1"/>
  <c r="I1045"/>
  <c r="J1045" s="1"/>
  <c r="I718"/>
  <c r="J718" s="1"/>
  <c r="I917"/>
  <c r="J917" s="1"/>
  <c r="I1172"/>
  <c r="J1172" s="1"/>
  <c r="I182"/>
  <c r="J182" s="1"/>
  <c r="I730"/>
  <c r="J730" s="1"/>
  <c r="I1426"/>
  <c r="J1426" s="1"/>
  <c r="I121"/>
  <c r="J121" s="1"/>
  <c r="I991"/>
  <c r="J991" s="1"/>
  <c r="I735"/>
  <c r="J735" s="1"/>
  <c r="I192"/>
  <c r="J192" s="1"/>
  <c r="I797"/>
  <c r="J797" s="1"/>
  <c r="I1316"/>
  <c r="J1316" s="1"/>
  <c r="I444"/>
  <c r="J444" s="1"/>
  <c r="I655"/>
  <c r="J655" s="1"/>
  <c r="I916"/>
  <c r="J916" s="1"/>
  <c r="I1474"/>
  <c r="J1474" s="1"/>
  <c r="I100"/>
  <c r="J100" s="1"/>
  <c r="I314"/>
  <c r="J314" s="1"/>
  <c r="I1301"/>
  <c r="J1301" s="1"/>
  <c r="I327"/>
  <c r="J327" s="1"/>
  <c r="I862"/>
  <c r="J862" s="1"/>
  <c r="I191"/>
  <c r="J191" s="1"/>
  <c r="I872"/>
  <c r="J872" s="1"/>
  <c r="I871"/>
  <c r="J871" s="1"/>
  <c r="I400"/>
  <c r="J400" s="1"/>
  <c r="I802"/>
  <c r="J802" s="1"/>
  <c r="I738"/>
  <c r="J738" s="1"/>
  <c r="I676"/>
  <c r="J676" s="1"/>
  <c r="I876"/>
  <c r="J876" s="1"/>
  <c r="J195"/>
  <c r="J124"/>
  <c r="I994"/>
  <c r="J994" s="1"/>
  <c r="I933"/>
  <c r="J933" s="1"/>
  <c r="I335"/>
  <c r="J335" s="1"/>
  <c r="J270"/>
  <c r="I1495"/>
  <c r="J1495" s="1"/>
  <c r="I1433"/>
  <c r="J1433" s="1"/>
  <c r="I1375"/>
  <c r="J1375" s="1"/>
  <c r="I1318"/>
  <c r="J1318" s="1"/>
  <c r="I1129"/>
  <c r="J1129" s="1"/>
  <c r="I1065"/>
  <c r="J1065" s="1"/>
  <c r="I1192"/>
  <c r="J1192" s="1"/>
  <c r="I618"/>
  <c r="J618" s="1"/>
  <c r="I561"/>
  <c r="J561" s="1"/>
  <c r="I505"/>
  <c r="J505" s="1"/>
  <c r="I458"/>
  <c r="J458" s="1"/>
  <c r="I404"/>
  <c r="J404" s="1"/>
  <c r="I1498"/>
  <c r="J1498" s="1"/>
  <c r="I1198"/>
  <c r="J1198" s="1"/>
  <c r="I998"/>
  <c r="J998" s="1"/>
  <c r="I564"/>
  <c r="J564" s="1"/>
  <c r="I935"/>
  <c r="J935" s="1"/>
  <c r="I880"/>
  <c r="J880" s="1"/>
  <c r="I805"/>
  <c r="J805" s="1"/>
  <c r="I407"/>
  <c r="J407" s="1"/>
  <c r="I129"/>
  <c r="J129" s="1"/>
  <c r="I200"/>
  <c r="J200" s="1"/>
  <c r="I339"/>
  <c r="J339" s="1"/>
  <c r="I799"/>
  <c r="J799" s="1"/>
  <c r="I1252"/>
  <c r="J1252" s="1"/>
  <c r="I190"/>
  <c r="J190" s="1"/>
  <c r="I189"/>
  <c r="J189" s="1"/>
  <c r="I734"/>
  <c r="J734" s="1"/>
  <c r="I557"/>
  <c r="J557" s="1"/>
  <c r="I1060"/>
  <c r="J1060" s="1"/>
  <c r="I990"/>
  <c r="J990" s="1"/>
  <c r="I868"/>
  <c r="J868" s="1"/>
  <c r="I1061"/>
  <c r="J1061" s="1"/>
  <c r="I1188"/>
  <c r="J1188" s="1"/>
  <c r="I1125"/>
  <c r="J1125" s="1"/>
  <c r="I870"/>
  <c r="J870" s="1"/>
  <c r="I869"/>
  <c r="J869" s="1"/>
  <c r="I332"/>
  <c r="J332" s="1"/>
  <c r="I331"/>
  <c r="J331" s="1"/>
  <c r="I268"/>
  <c r="J268" s="1"/>
  <c r="I267"/>
  <c r="J267" s="1"/>
  <c r="I266"/>
  <c r="J266" s="1"/>
  <c r="I188"/>
  <c r="J188" s="1"/>
  <c r="I118"/>
  <c r="J118" s="1"/>
  <c r="I119"/>
  <c r="J119" s="1"/>
  <c r="I120"/>
  <c r="J120" s="1"/>
  <c r="I455"/>
  <c r="J455" s="1"/>
  <c r="I454"/>
  <c r="J454" s="1"/>
  <c r="I1429"/>
  <c r="J1429" s="1"/>
  <c r="I1372"/>
  <c r="J1372" s="1"/>
  <c r="I1186"/>
  <c r="J1186" s="1"/>
  <c r="I1185"/>
  <c r="J1185" s="1"/>
  <c r="I1123"/>
  <c r="J1123" s="1"/>
  <c r="I1122"/>
  <c r="J1122" s="1"/>
  <c r="I1059"/>
  <c r="J1059" s="1"/>
  <c r="I1058"/>
  <c r="J1058" s="1"/>
  <c r="I1057"/>
  <c r="J1057" s="1"/>
  <c r="I731"/>
  <c r="J731" s="1"/>
  <c r="I670"/>
  <c r="J670" s="1"/>
  <c r="I669"/>
  <c r="J669" s="1"/>
  <c r="I668"/>
  <c r="J668" s="1"/>
  <c r="I399"/>
  <c r="J399" s="1"/>
  <c r="I115"/>
  <c r="J115" s="1"/>
  <c r="I456"/>
  <c r="J456" s="1"/>
  <c r="I1488"/>
  <c r="J1488" s="1"/>
  <c r="I1251"/>
  <c r="J1251" s="1"/>
  <c r="I1250"/>
  <c r="J1250" s="1"/>
  <c r="I1249"/>
  <c r="J1249" s="1"/>
  <c r="I1187"/>
  <c r="J1187" s="1"/>
  <c r="I1124"/>
  <c r="J1124" s="1"/>
  <c r="I865"/>
  <c r="J865" s="1"/>
  <c r="I796"/>
  <c r="J796" s="1"/>
  <c r="I795"/>
  <c r="J795" s="1"/>
  <c r="I794"/>
  <c r="J794" s="1"/>
  <c r="I732"/>
  <c r="J732" s="1"/>
  <c r="I556"/>
  <c r="J556" s="1"/>
  <c r="I555"/>
  <c r="J555" s="1"/>
  <c r="I554"/>
  <c r="J554" s="1"/>
  <c r="I264"/>
  <c r="J264" s="1"/>
  <c r="I263"/>
  <c r="J263" s="1"/>
  <c r="I186"/>
  <c r="J186" s="1"/>
  <c r="I185"/>
  <c r="J185" s="1"/>
  <c r="I117"/>
  <c r="J117" s="1"/>
  <c r="I116"/>
  <c r="J116" s="1"/>
  <c r="I1490"/>
  <c r="J1490" s="1"/>
  <c r="I1489"/>
  <c r="J1489" s="1"/>
  <c r="I1313"/>
  <c r="J1313" s="1"/>
  <c r="I929"/>
  <c r="J929" s="1"/>
  <c r="I867"/>
  <c r="J867" s="1"/>
  <c r="I866"/>
  <c r="J866" s="1"/>
  <c r="I733"/>
  <c r="J733" s="1"/>
  <c r="I614"/>
  <c r="J614" s="1"/>
  <c r="I397"/>
  <c r="J397" s="1"/>
  <c r="I330"/>
  <c r="J330" s="1"/>
  <c r="I329"/>
  <c r="J329" s="1"/>
  <c r="I328"/>
  <c r="J328" s="1"/>
  <c r="I265"/>
  <c r="J265" s="1"/>
  <c r="I187"/>
  <c r="J187" s="1"/>
  <c r="I1428"/>
  <c r="J1428" s="1"/>
  <c r="I1427"/>
  <c r="J1427" s="1"/>
  <c r="I1371"/>
  <c r="J1371" s="1"/>
  <c r="I1370"/>
  <c r="J1370" s="1"/>
  <c r="I1315"/>
  <c r="J1315" s="1"/>
  <c r="I1314"/>
  <c r="J1314" s="1"/>
  <c r="I989"/>
  <c r="J989" s="1"/>
  <c r="I988"/>
  <c r="J988" s="1"/>
  <c r="I987"/>
  <c r="J987" s="1"/>
  <c r="I930"/>
  <c r="J930" s="1"/>
  <c r="I616"/>
  <c r="J616" s="1"/>
  <c r="I615"/>
  <c r="J615" s="1"/>
  <c r="I398"/>
  <c r="J398" s="1"/>
  <c r="I169"/>
  <c r="J169" s="1"/>
  <c r="I383"/>
  <c r="J383" s="1"/>
  <c r="I313"/>
  <c r="J313" s="1"/>
  <c r="I1414"/>
  <c r="J1414" s="1"/>
  <c r="I540"/>
  <c r="J540" s="1"/>
  <c r="I603"/>
  <c r="J603" s="1"/>
  <c r="I781"/>
  <c r="J781" s="1"/>
  <c r="I1109"/>
  <c r="J1109" s="1"/>
  <c r="I1475"/>
  <c r="J1475" s="1"/>
  <c r="I1373"/>
  <c r="J1373" s="1"/>
  <c r="I1189"/>
  <c r="J1189" s="1"/>
  <c r="I1127"/>
  <c r="J1127" s="1"/>
  <c r="I1063"/>
  <c r="J1063" s="1"/>
  <c r="I1431"/>
  <c r="J1431" s="1"/>
  <c r="I674"/>
  <c r="J674" s="1"/>
  <c r="I736"/>
  <c r="J736" s="1"/>
  <c r="I1255"/>
  <c r="J1255" s="1"/>
  <c r="I1254"/>
  <c r="J1254" s="1"/>
  <c r="I1062"/>
  <c r="J1062" s="1"/>
  <c r="I1256"/>
  <c r="J1256" s="1"/>
  <c r="I672"/>
  <c r="J672" s="1"/>
  <c r="I673"/>
  <c r="J673" s="1"/>
  <c r="I863"/>
  <c r="J863" s="1"/>
  <c r="I183"/>
  <c r="J183" s="1"/>
  <c r="I113"/>
  <c r="J113" s="1"/>
  <c r="I996"/>
  <c r="J996" s="1"/>
  <c r="I878"/>
  <c r="J878" s="1"/>
  <c r="I804"/>
  <c r="J804" s="1"/>
  <c r="I1131"/>
  <c r="J1131" s="1"/>
  <c r="I1067"/>
  <c r="J1067" s="1"/>
  <c r="I1260"/>
  <c r="J1260" s="1"/>
  <c r="I1195"/>
  <c r="J1195" s="1"/>
  <c r="I740"/>
  <c r="J740" s="1"/>
  <c r="I563"/>
  <c r="J563" s="1"/>
  <c r="I127"/>
  <c r="J127" s="1"/>
  <c r="I337"/>
  <c r="J337" s="1"/>
  <c r="I198"/>
  <c r="J198" s="1"/>
  <c r="I272"/>
  <c r="J272" s="1"/>
  <c r="I1258"/>
  <c r="J1258" s="1"/>
  <c r="I49"/>
  <c r="J49" s="1"/>
  <c r="I1259"/>
  <c r="J1259" s="1"/>
  <c r="I877"/>
  <c r="J877" s="1"/>
  <c r="I803"/>
  <c r="J803" s="1"/>
  <c r="I739"/>
  <c r="J739" s="1"/>
  <c r="I677"/>
  <c r="J677" s="1"/>
  <c r="I1496"/>
  <c r="J1496" s="1"/>
  <c r="I1434"/>
  <c r="J1434" s="1"/>
  <c r="I1376"/>
  <c r="J1376" s="1"/>
  <c r="I1319"/>
  <c r="J1319" s="1"/>
  <c r="I995"/>
  <c r="J995" s="1"/>
  <c r="I934"/>
  <c r="J934" s="1"/>
  <c r="I459"/>
  <c r="J459" s="1"/>
  <c r="I405"/>
  <c r="J405" s="1"/>
  <c r="I1066"/>
  <c r="J1066" s="1"/>
  <c r="I1194"/>
  <c r="J1194" s="1"/>
  <c r="I1130"/>
  <c r="J1130" s="1"/>
  <c r="I619"/>
  <c r="J619" s="1"/>
  <c r="I562"/>
  <c r="J562" s="1"/>
  <c r="I506"/>
  <c r="J506" s="1"/>
  <c r="I336"/>
  <c r="J336" s="1"/>
  <c r="I197"/>
  <c r="J197" s="1"/>
  <c r="I126"/>
  <c r="J126" s="1"/>
  <c r="J271"/>
  <c r="I1494"/>
  <c r="J1494" s="1"/>
  <c r="I1128"/>
  <c r="J1128" s="1"/>
  <c r="I993"/>
  <c r="J993" s="1"/>
  <c r="I1191"/>
  <c r="J1191" s="1"/>
  <c r="I875"/>
  <c r="J875" s="1"/>
  <c r="I504"/>
  <c r="J504" s="1"/>
  <c r="I194"/>
  <c r="J194" s="1"/>
  <c r="I123"/>
  <c r="J123" s="1"/>
  <c r="I1432"/>
  <c r="J1432" s="1"/>
  <c r="I1374"/>
  <c r="J1374" s="1"/>
  <c r="I1317"/>
  <c r="J1317" s="1"/>
  <c r="I1064"/>
  <c r="J1064" s="1"/>
  <c r="I737"/>
  <c r="J737" s="1"/>
  <c r="I675"/>
  <c r="J675" s="1"/>
  <c r="I617"/>
  <c r="J617" s="1"/>
  <c r="I403"/>
  <c r="J403" s="1"/>
  <c r="I932"/>
  <c r="J932" s="1"/>
  <c r="I457"/>
  <c r="J457" s="1"/>
  <c r="I269"/>
  <c r="J269" s="1"/>
  <c r="I801"/>
  <c r="J801" s="1"/>
  <c r="I334"/>
  <c r="J334" s="1"/>
  <c r="I1257"/>
  <c r="J1257" s="1"/>
  <c r="I559"/>
  <c r="J559" s="1"/>
  <c r="I1425"/>
  <c r="J1425" s="1"/>
  <c r="I1485"/>
  <c r="J1485" s="1"/>
  <c r="I1190"/>
  <c r="J1190" s="1"/>
  <c r="I122"/>
  <c r="J122" s="1"/>
  <c r="I931"/>
  <c r="J931" s="1"/>
  <c r="I874"/>
  <c r="J874" s="1"/>
  <c r="I800"/>
  <c r="J800" s="1"/>
  <c r="I558"/>
  <c r="J558" s="1"/>
  <c r="I402"/>
  <c r="J402" s="1"/>
  <c r="I1493"/>
  <c r="J1493" s="1"/>
  <c r="I193"/>
  <c r="J193" s="1"/>
  <c r="I992"/>
  <c r="J992" s="1"/>
  <c r="I1043"/>
  <c r="J1043" s="1"/>
  <c r="I262"/>
  <c r="J262" s="1"/>
  <c r="I985"/>
  <c r="J985" s="1"/>
  <c r="I1056"/>
  <c r="J1056" s="1"/>
  <c r="I1121"/>
  <c r="J1121" s="1"/>
  <c r="I1183"/>
  <c r="J1183" s="1"/>
  <c r="I793"/>
  <c r="J793" s="1"/>
  <c r="I729"/>
  <c r="J729" s="1"/>
  <c r="I326"/>
  <c r="J326" s="1"/>
  <c r="I181"/>
  <c r="J181" s="1"/>
  <c r="I861"/>
  <c r="J861" s="1"/>
  <c r="I552"/>
  <c r="J552" s="1"/>
  <c r="I111"/>
  <c r="J111" s="1"/>
  <c r="I1262"/>
  <c r="J1262" s="1"/>
  <c r="I1196"/>
  <c r="J1196" s="1"/>
  <c r="I1133"/>
  <c r="J1133" s="1"/>
  <c r="I1068"/>
  <c r="J1068" s="1"/>
  <c r="I742"/>
  <c r="J742" s="1"/>
  <c r="I679"/>
  <c r="J679" s="1"/>
  <c r="I1436"/>
  <c r="J1436" s="1"/>
  <c r="I1377"/>
  <c r="J1377" s="1"/>
  <c r="I460"/>
  <c r="J460" s="1"/>
  <c r="I1193"/>
  <c r="J1193" s="1"/>
  <c r="I196"/>
  <c r="J196" s="1"/>
  <c r="I125"/>
  <c r="J125" s="1"/>
  <c r="I1369"/>
  <c r="J1369" s="1"/>
  <c r="I1311"/>
  <c r="J1311" s="1"/>
  <c r="I1119"/>
  <c r="J1119" s="1"/>
  <c r="I1248"/>
  <c r="J1248" s="1"/>
  <c r="I1182"/>
  <c r="J1182" s="1"/>
  <c r="I983"/>
  <c r="J983" s="1"/>
  <c r="I1055"/>
  <c r="J1055" s="1"/>
  <c r="I927"/>
  <c r="J927" s="1"/>
  <c r="I860"/>
  <c r="J860" s="1"/>
  <c r="I613"/>
  <c r="J613" s="1"/>
  <c r="I665"/>
  <c r="J665" s="1"/>
  <c r="I791"/>
  <c r="J791" s="1"/>
  <c r="I728"/>
  <c r="J728" s="1"/>
  <c r="I551"/>
  <c r="J551" s="1"/>
  <c r="I503"/>
  <c r="J503" s="1"/>
  <c r="I394"/>
  <c r="J394" s="1"/>
  <c r="I453"/>
  <c r="J453" s="1"/>
  <c r="I74"/>
  <c r="J74" s="1"/>
  <c r="I69"/>
  <c r="J69" s="1"/>
  <c r="I68"/>
  <c r="J68" s="1"/>
  <c r="I67"/>
  <c r="J67" s="1"/>
  <c r="I66"/>
  <c r="J66" s="1"/>
  <c r="I57"/>
  <c r="J57" s="1"/>
  <c r="I59"/>
  <c r="J59" s="1"/>
  <c r="I58"/>
  <c r="J58" s="1"/>
  <c r="I52"/>
  <c r="J52" s="1"/>
  <c r="I46"/>
  <c r="J46" s="1"/>
  <c r="I324"/>
  <c r="J324" s="1"/>
  <c r="I180"/>
  <c r="J180" s="1"/>
  <c r="I110"/>
  <c r="J110" s="1"/>
  <c r="I39"/>
  <c r="J39" s="1"/>
  <c r="I261"/>
  <c r="J261" s="1"/>
  <c r="I1239"/>
  <c r="J1239" s="1"/>
  <c r="I1042"/>
  <c r="J1042" s="1"/>
  <c r="I849"/>
  <c r="J849" s="1"/>
  <c r="I492"/>
  <c r="J492" s="1"/>
  <c r="I27"/>
  <c r="J27" s="1"/>
  <c r="I542"/>
  <c r="J542" s="1"/>
  <c r="I442"/>
  <c r="J442" s="1"/>
  <c r="I45"/>
  <c r="J45" s="1"/>
  <c r="I65"/>
  <c r="J65" s="1"/>
  <c r="I64"/>
  <c r="J64" s="1"/>
  <c r="I48"/>
  <c r="J48" s="1"/>
  <c r="I40"/>
  <c r="J40" s="1"/>
  <c r="I1476"/>
  <c r="J1476" s="1"/>
  <c r="I1302"/>
  <c r="J1302" s="1"/>
  <c r="I1360"/>
  <c r="J1360" s="1"/>
  <c r="I1110"/>
  <c r="J1110" s="1"/>
  <c r="I1416"/>
  <c r="J1416" s="1"/>
  <c r="I1238"/>
  <c r="J1238" s="1"/>
  <c r="I1173"/>
  <c r="J1173" s="1"/>
  <c r="I1044"/>
  <c r="J1044" s="1"/>
  <c r="I974"/>
  <c r="J974" s="1"/>
  <c r="I850"/>
  <c r="J850" s="1"/>
  <c r="I782"/>
  <c r="J782" s="1"/>
  <c r="I541"/>
  <c r="J541" s="1"/>
  <c r="I493"/>
  <c r="J493" s="1"/>
  <c r="I315"/>
  <c r="J315" s="1"/>
  <c r="I385"/>
  <c r="J385" s="1"/>
  <c r="I918"/>
  <c r="J918" s="1"/>
  <c r="I604"/>
  <c r="J604" s="1"/>
  <c r="I29"/>
  <c r="J29" s="1"/>
  <c r="I719"/>
  <c r="J719" s="1"/>
  <c r="I443"/>
  <c r="J443" s="1"/>
  <c r="I252"/>
  <c r="J252" s="1"/>
  <c r="I171"/>
  <c r="J171" s="1"/>
  <c r="I101"/>
  <c r="J101" s="1"/>
  <c r="I28"/>
  <c r="J28" s="1"/>
  <c r="I72"/>
  <c r="J72" s="1"/>
  <c r="I73"/>
  <c r="J73" s="1"/>
  <c r="I61"/>
  <c r="J61" s="1"/>
  <c r="I63"/>
  <c r="J63" s="1"/>
  <c r="I62"/>
  <c r="J62" s="1"/>
  <c r="I53"/>
  <c r="J53" s="1"/>
  <c r="I56"/>
  <c r="J56" s="1"/>
  <c r="I55"/>
  <c r="J55" s="1"/>
  <c r="I54"/>
  <c r="J54" s="1"/>
  <c r="I51"/>
  <c r="J51" s="1"/>
  <c r="I44"/>
  <c r="J44" s="1"/>
  <c r="I42"/>
  <c r="J42" s="1"/>
  <c r="I41"/>
  <c r="J41" s="1"/>
  <c r="I43"/>
  <c r="J43" s="1"/>
  <c r="I71"/>
  <c r="J71" s="1"/>
  <c r="I70"/>
  <c r="J70" s="1"/>
  <c r="I60"/>
  <c r="J60" s="1"/>
  <c r="I50"/>
  <c r="J50" s="1"/>
  <c r="I1366"/>
  <c r="J1366" s="1"/>
  <c r="I1422"/>
  <c r="J1422" s="1"/>
  <c r="I1361"/>
  <c r="J1361" s="1"/>
  <c r="I1417"/>
  <c r="J1417" s="1"/>
  <c r="I1420"/>
  <c r="J1420" s="1"/>
  <c r="I1363"/>
  <c r="J1363" s="1"/>
  <c r="I1419"/>
  <c r="J1419" s="1"/>
  <c r="I1362"/>
  <c r="J1362" s="1"/>
  <c r="I1418"/>
  <c r="J1418" s="1"/>
  <c r="I1365"/>
  <c r="J1365" s="1"/>
  <c r="I1421"/>
  <c r="J1421" s="1"/>
  <c r="I1245"/>
  <c r="J1245" s="1"/>
  <c r="I1308"/>
  <c r="J1308" s="1"/>
  <c r="I1240"/>
  <c r="J1240" s="1"/>
  <c r="I1303"/>
  <c r="J1303" s="1"/>
  <c r="I1306"/>
  <c r="J1306" s="1"/>
  <c r="I1242"/>
  <c r="J1242" s="1"/>
  <c r="I1305"/>
  <c r="J1305" s="1"/>
  <c r="I1241"/>
  <c r="J1241" s="1"/>
  <c r="I1304"/>
  <c r="J1304" s="1"/>
  <c r="I1244"/>
  <c r="J1244" s="1"/>
  <c r="I1307"/>
  <c r="J1307" s="1"/>
  <c r="I1116"/>
  <c r="J1116" s="1"/>
  <c r="I1179"/>
  <c r="J1179" s="1"/>
  <c r="I1111"/>
  <c r="J1111" s="1"/>
  <c r="I1174"/>
  <c r="J1174" s="1"/>
  <c r="I1177"/>
  <c r="J1177" s="1"/>
  <c r="I1113"/>
  <c r="J1113" s="1"/>
  <c r="I1176"/>
  <c r="J1176" s="1"/>
  <c r="I1112"/>
  <c r="J1112" s="1"/>
  <c r="I1175"/>
  <c r="J1175" s="1"/>
  <c r="I1115"/>
  <c r="J1115" s="1"/>
  <c r="I1178"/>
  <c r="J1178" s="1"/>
  <c r="I980"/>
  <c r="J980" s="1"/>
  <c r="I1052"/>
  <c r="J1052" s="1"/>
  <c r="I975"/>
  <c r="J975" s="1"/>
  <c r="I1047"/>
  <c r="J1047" s="1"/>
  <c r="I1050"/>
  <c r="J1050" s="1"/>
  <c r="I977"/>
  <c r="J977" s="1"/>
  <c r="I1049"/>
  <c r="J1049" s="1"/>
  <c r="I976"/>
  <c r="J976" s="1"/>
  <c r="I1048"/>
  <c r="J1048" s="1"/>
  <c r="I979"/>
  <c r="J979" s="1"/>
  <c r="I1051"/>
  <c r="J1051" s="1"/>
  <c r="I857"/>
  <c r="J857" s="1"/>
  <c r="I924"/>
  <c r="J924" s="1"/>
  <c r="I852"/>
  <c r="J852" s="1"/>
  <c r="I919"/>
  <c r="J919" s="1"/>
  <c r="I922"/>
  <c r="J922" s="1"/>
  <c r="I854"/>
  <c r="J854" s="1"/>
  <c r="I921"/>
  <c r="J921" s="1"/>
  <c r="I853"/>
  <c r="J853" s="1"/>
  <c r="I920"/>
  <c r="J920" s="1"/>
  <c r="I856"/>
  <c r="J856" s="1"/>
  <c r="I923"/>
  <c r="J923" s="1"/>
  <c r="I725"/>
  <c r="J725" s="1"/>
  <c r="I788"/>
  <c r="J788" s="1"/>
  <c r="I720"/>
  <c r="J720" s="1"/>
  <c r="I783"/>
  <c r="J783" s="1"/>
  <c r="I786"/>
  <c r="J786" s="1"/>
  <c r="I722"/>
  <c r="J722" s="1"/>
  <c r="I785"/>
  <c r="J785" s="1"/>
  <c r="I721"/>
  <c r="J721" s="1"/>
  <c r="I784"/>
  <c r="J784" s="1"/>
  <c r="I724"/>
  <c r="J724" s="1"/>
  <c r="I787"/>
  <c r="J787" s="1"/>
  <c r="I610"/>
  <c r="J610" s="1"/>
  <c r="I662"/>
  <c r="J662" s="1"/>
  <c r="I605"/>
  <c r="J605" s="1"/>
  <c r="I657"/>
  <c r="J657" s="1"/>
  <c r="I660"/>
  <c r="J660" s="1"/>
  <c r="I607"/>
  <c r="J607" s="1"/>
  <c r="I659"/>
  <c r="J659" s="1"/>
  <c r="I606"/>
  <c r="J606" s="1"/>
  <c r="I658"/>
  <c r="J658" s="1"/>
  <c r="I609"/>
  <c r="J609" s="1"/>
  <c r="I661"/>
  <c r="J661" s="1"/>
  <c r="I548"/>
  <c r="J548" s="1"/>
  <c r="I543"/>
  <c r="J543" s="1"/>
  <c r="I545"/>
  <c r="J545" s="1"/>
  <c r="I544"/>
  <c r="J544" s="1"/>
  <c r="I547"/>
  <c r="J547" s="1"/>
  <c r="I450"/>
  <c r="J450" s="1"/>
  <c r="I500"/>
  <c r="J500" s="1"/>
  <c r="I445"/>
  <c r="J445" s="1"/>
  <c r="I495"/>
  <c r="J495" s="1"/>
  <c r="I498"/>
  <c r="J498" s="1"/>
  <c r="I447"/>
  <c r="J447" s="1"/>
  <c r="I497"/>
  <c r="J497" s="1"/>
  <c r="I446"/>
  <c r="J446" s="1"/>
  <c r="I496"/>
  <c r="J496" s="1"/>
  <c r="I449"/>
  <c r="J449" s="1"/>
  <c r="I499"/>
  <c r="J499" s="1"/>
  <c r="I321"/>
  <c r="J321" s="1"/>
  <c r="I391"/>
  <c r="J391" s="1"/>
  <c r="I316"/>
  <c r="J316" s="1"/>
  <c r="I386"/>
  <c r="J386" s="1"/>
  <c r="I389"/>
  <c r="J389" s="1"/>
  <c r="I318"/>
  <c r="J318" s="1"/>
  <c r="I388"/>
  <c r="J388" s="1"/>
  <c r="I317"/>
  <c r="J317" s="1"/>
  <c r="I387"/>
  <c r="J387" s="1"/>
  <c r="I320"/>
  <c r="J320" s="1"/>
  <c r="I390"/>
  <c r="J390" s="1"/>
  <c r="I256"/>
  <c r="J256" s="1"/>
  <c r="I176"/>
  <c r="J176" s="1"/>
  <c r="I257"/>
  <c r="J257" s="1"/>
  <c r="I172"/>
  <c r="J172" s="1"/>
  <c r="I253"/>
  <c r="J253" s="1"/>
  <c r="I173"/>
  <c r="J173" s="1"/>
  <c r="I254"/>
  <c r="J254" s="1"/>
  <c r="I174"/>
  <c r="J174" s="1"/>
  <c r="I255"/>
  <c r="J255" s="1"/>
  <c r="I177"/>
  <c r="J177" s="1"/>
  <c r="I258"/>
  <c r="J258" s="1"/>
  <c r="I31"/>
  <c r="J31" s="1"/>
  <c r="I102"/>
  <c r="J102" s="1"/>
  <c r="I30"/>
  <c r="J30" s="1"/>
  <c r="I103"/>
  <c r="J103" s="1"/>
  <c r="I32"/>
  <c r="J32" s="1"/>
  <c r="I105"/>
  <c r="J105" s="1"/>
  <c r="I33"/>
  <c r="J33" s="1"/>
  <c r="I104"/>
  <c r="J104" s="1"/>
  <c r="I106"/>
  <c r="J106" s="1"/>
  <c r="I35"/>
  <c r="J35" s="1"/>
  <c r="I107"/>
  <c r="J107" s="1"/>
  <c r="I36"/>
  <c r="J36" s="1"/>
  <c r="I1406"/>
  <c r="J1406" s="1"/>
  <c r="I1465"/>
  <c r="J1465" s="1"/>
  <c r="I1407"/>
  <c r="J1407" s="1"/>
  <c r="I1467"/>
  <c r="J1467" s="1"/>
  <c r="I1163"/>
  <c r="J1163" s="1"/>
  <c r="I1466"/>
  <c r="J1466" s="1"/>
  <c r="I1408"/>
  <c r="J1408" s="1"/>
  <c r="I1468"/>
  <c r="J1468" s="1"/>
  <c r="I1294"/>
  <c r="J1294" s="1"/>
  <c r="I1350"/>
  <c r="J1350" s="1"/>
  <c r="I1295"/>
  <c r="J1295" s="1"/>
  <c r="I1351"/>
  <c r="J1351" s="1"/>
  <c r="I1296"/>
  <c r="J1296" s="1"/>
  <c r="I1352"/>
  <c r="J1352" s="1"/>
  <c r="I1162"/>
  <c r="J1162" s="1"/>
  <c r="I1231"/>
  <c r="J1231" s="1"/>
  <c r="I1164"/>
  <c r="J1164" s="1"/>
  <c r="I1232"/>
  <c r="J1232" s="1"/>
  <c r="I1165"/>
  <c r="J1165" s="1"/>
  <c r="I1233"/>
  <c r="J1233" s="1"/>
  <c r="I1033"/>
  <c r="J1033" s="1"/>
  <c r="I1100"/>
  <c r="J1100" s="1"/>
  <c r="I1034"/>
  <c r="J1034" s="1"/>
  <c r="I1101"/>
  <c r="J1101" s="1"/>
  <c r="I1035"/>
  <c r="J1035" s="1"/>
  <c r="I1102"/>
  <c r="J1102" s="1"/>
  <c r="I908"/>
  <c r="J908" s="1"/>
  <c r="I964"/>
  <c r="J964" s="1"/>
  <c r="I909"/>
  <c r="J909" s="1"/>
  <c r="I965"/>
  <c r="J965" s="1"/>
  <c r="I910"/>
  <c r="J910" s="1"/>
  <c r="I966"/>
  <c r="J966" s="1"/>
  <c r="I841"/>
  <c r="J841" s="1"/>
  <c r="I773"/>
  <c r="J773" s="1"/>
  <c r="I842"/>
  <c r="J842" s="1"/>
  <c r="I774"/>
  <c r="J774" s="1"/>
  <c r="I843"/>
  <c r="J843" s="1"/>
  <c r="I709"/>
  <c r="J709" s="1"/>
  <c r="I772"/>
  <c r="J772" s="1"/>
  <c r="I708"/>
  <c r="J708" s="1"/>
  <c r="I771"/>
  <c r="J771" s="1"/>
  <c r="I649"/>
  <c r="J649" s="1"/>
  <c r="I710"/>
  <c r="J710" s="1"/>
  <c r="I650"/>
  <c r="J650" s="1"/>
  <c r="I711"/>
  <c r="J711" s="1"/>
  <c r="I596"/>
  <c r="J596" s="1"/>
  <c r="I648"/>
  <c r="J648" s="1"/>
  <c r="I597"/>
  <c r="J597" s="1"/>
  <c r="I598"/>
  <c r="J598" s="1"/>
  <c r="I530"/>
  <c r="J530" s="1"/>
  <c r="I435"/>
  <c r="J435" s="1"/>
  <c r="I529"/>
  <c r="J529" s="1"/>
  <c r="I485"/>
  <c r="J485" s="1"/>
  <c r="I531"/>
  <c r="J531" s="1"/>
  <c r="I486"/>
  <c r="J486" s="1"/>
  <c r="I532"/>
  <c r="J532" s="1"/>
  <c r="J836"/>
  <c r="I375"/>
  <c r="J375" s="1"/>
  <c r="I436"/>
  <c r="J436" s="1"/>
  <c r="I304"/>
  <c r="J304" s="1"/>
  <c r="I374"/>
  <c r="J374" s="1"/>
  <c r="I306"/>
  <c r="J306" s="1"/>
  <c r="I376"/>
  <c r="J376" s="1"/>
  <c r="I307"/>
  <c r="J307" s="1"/>
  <c r="I377"/>
  <c r="J377" s="1"/>
  <c r="I242"/>
  <c r="J242" s="1"/>
  <c r="I305"/>
  <c r="J305" s="1"/>
  <c r="I160"/>
  <c r="J160" s="1"/>
  <c r="I241"/>
  <c r="J241" s="1"/>
  <c r="I162"/>
  <c r="J162" s="1"/>
  <c r="I243"/>
  <c r="J243" s="1"/>
  <c r="I163"/>
  <c r="J163" s="1"/>
  <c r="I244"/>
  <c r="J244" s="1"/>
  <c r="I91"/>
  <c r="J91" s="1"/>
  <c r="I161"/>
  <c r="J161" s="1"/>
  <c r="I1470"/>
  <c r="J1470" s="1"/>
  <c r="I93"/>
  <c r="J93" s="1"/>
  <c r="I92"/>
  <c r="J92" s="1"/>
  <c r="I1354"/>
  <c r="J1354" s="1"/>
  <c r="I1410"/>
  <c r="J1410" s="1"/>
  <c r="I1235"/>
  <c r="J1235" s="1"/>
  <c r="I1298"/>
  <c r="J1298" s="1"/>
  <c r="I1104"/>
  <c r="J1104" s="1"/>
  <c r="I1167"/>
  <c r="J1167" s="1"/>
  <c r="I968"/>
  <c r="J968" s="1"/>
  <c r="I1037"/>
  <c r="J1037" s="1"/>
  <c r="I845"/>
  <c r="J845" s="1"/>
  <c r="I912"/>
  <c r="J912" s="1"/>
  <c r="I713"/>
  <c r="J713" s="1"/>
  <c r="I776"/>
  <c r="J776" s="1"/>
  <c r="I600"/>
  <c r="J600" s="1"/>
  <c r="I652"/>
  <c r="J652" s="1"/>
  <c r="I535"/>
  <c r="J535" s="1"/>
  <c r="I438"/>
  <c r="J438" s="1"/>
  <c r="I488"/>
  <c r="J488" s="1"/>
  <c r="I309"/>
  <c r="J309" s="1"/>
  <c r="I379"/>
  <c r="J379" s="1"/>
  <c r="I165"/>
  <c r="J165" s="1"/>
  <c r="I246"/>
  <c r="J246" s="1"/>
  <c r="I1412"/>
  <c r="J1412" s="1"/>
  <c r="I1356"/>
  <c r="J1356" s="1"/>
  <c r="I1411"/>
  <c r="J1411" s="1"/>
  <c r="I1355"/>
  <c r="J1355" s="1"/>
  <c r="I1473"/>
  <c r="J1473" s="1"/>
  <c r="I1413"/>
  <c r="J1413" s="1"/>
  <c r="I1300"/>
  <c r="J1300" s="1"/>
  <c r="I1472"/>
  <c r="J1472" s="1"/>
  <c r="I1299"/>
  <c r="J1299" s="1"/>
  <c r="I1471"/>
  <c r="J1471" s="1"/>
  <c r="I1237"/>
  <c r="J1237" s="1"/>
  <c r="I1106"/>
  <c r="J1106" s="1"/>
  <c r="I1169"/>
  <c r="J1169" s="1"/>
  <c r="I1170"/>
  <c r="J1170" s="1"/>
  <c r="I1107"/>
  <c r="J1107" s="1"/>
  <c r="I1038"/>
  <c r="J1038" s="1"/>
  <c r="I1236"/>
  <c r="J1236" s="1"/>
  <c r="I1105"/>
  <c r="J1105" s="1"/>
  <c r="I1168"/>
  <c r="J1168" s="1"/>
  <c r="I970"/>
  <c r="J970" s="1"/>
  <c r="I1039"/>
  <c r="J1039" s="1"/>
  <c r="I971"/>
  <c r="J971" s="1"/>
  <c r="I1040"/>
  <c r="J1040" s="1"/>
  <c r="I913"/>
  <c r="J913" s="1"/>
  <c r="I969"/>
  <c r="J969" s="1"/>
  <c r="I848"/>
  <c r="J848" s="1"/>
  <c r="I915"/>
  <c r="J915" s="1"/>
  <c r="I847"/>
  <c r="J847" s="1"/>
  <c r="I914"/>
  <c r="J914" s="1"/>
  <c r="I777"/>
  <c r="J777" s="1"/>
  <c r="I846"/>
  <c r="J846" s="1"/>
  <c r="I715"/>
  <c r="J715" s="1"/>
  <c r="I778"/>
  <c r="J778" s="1"/>
  <c r="I716"/>
  <c r="J716" s="1"/>
  <c r="I779"/>
  <c r="J779" s="1"/>
  <c r="I653"/>
  <c r="J653" s="1"/>
  <c r="I714"/>
  <c r="J714" s="1"/>
  <c r="I654"/>
  <c r="J654" s="1"/>
  <c r="I602"/>
  <c r="J602" s="1"/>
  <c r="I601"/>
  <c r="J601" s="1"/>
  <c r="I537"/>
  <c r="J537" s="1"/>
  <c r="I538"/>
  <c r="J538" s="1"/>
  <c r="I536"/>
  <c r="J536" s="1"/>
  <c r="I381"/>
  <c r="J381" s="1"/>
  <c r="I490"/>
  <c r="J490" s="1"/>
  <c r="I440"/>
  <c r="J440" s="1"/>
  <c r="I382"/>
  <c r="J382" s="1"/>
  <c r="I491"/>
  <c r="J491" s="1"/>
  <c r="I441"/>
  <c r="J441" s="1"/>
  <c r="I380"/>
  <c r="J380" s="1"/>
  <c r="I489"/>
  <c r="J489" s="1"/>
  <c r="I439"/>
  <c r="J439" s="1"/>
  <c r="I248"/>
  <c r="J248" s="1"/>
  <c r="I311"/>
  <c r="J311" s="1"/>
  <c r="I249"/>
  <c r="J249" s="1"/>
  <c r="I312"/>
  <c r="J312" s="1"/>
  <c r="I247"/>
  <c r="J247" s="1"/>
  <c r="I310"/>
  <c r="J310" s="1"/>
  <c r="I97"/>
  <c r="J97" s="1"/>
  <c r="I25"/>
  <c r="J25" s="1"/>
  <c r="I167"/>
  <c r="J167" s="1"/>
  <c r="I26"/>
  <c r="J26" s="1"/>
  <c r="I98"/>
  <c r="J98" s="1"/>
  <c r="I168"/>
  <c r="J168" s="1"/>
  <c r="I96"/>
  <c r="J96" s="1"/>
  <c r="I166"/>
  <c r="J166" s="1"/>
  <c r="I24"/>
  <c r="J24" s="1"/>
  <c r="I95"/>
  <c r="J95" s="1"/>
  <c r="I21"/>
  <c r="J21" s="1"/>
  <c r="I17"/>
  <c r="J17" s="1"/>
  <c r="I90"/>
  <c r="J90" s="1"/>
  <c r="I18"/>
  <c r="J18" s="1"/>
  <c r="I19"/>
  <c r="J19" s="1"/>
  <c r="I20"/>
  <c r="J20" s="1"/>
  <c r="J1157"/>
  <c r="J1028"/>
  <c r="J1095"/>
  <c r="J1226" s="1"/>
  <c r="J1289" s="1"/>
  <c r="J1345" s="1"/>
  <c r="J1401" s="1"/>
  <c r="J1460" s="1"/>
  <c r="J903"/>
  <c r="J959"/>
  <c r="J766"/>
  <c r="J643"/>
  <c r="J703"/>
  <c r="J591"/>
  <c r="J430"/>
  <c r="J299" s="1"/>
  <c r="J524"/>
  <c r="J481"/>
  <c r="B4" i="9"/>
  <c r="B2"/>
  <c r="I34" i="2" l="1"/>
  <c r="J34" s="1"/>
  <c r="I175"/>
  <c r="J175" s="1"/>
  <c r="I319"/>
  <c r="J319" s="1"/>
  <c r="I448"/>
  <c r="J448" s="1"/>
  <c r="I546"/>
  <c r="J546" s="1"/>
  <c r="I608"/>
  <c r="J608" s="1"/>
  <c r="I723"/>
  <c r="J723" s="1"/>
  <c r="I855"/>
  <c r="J855" s="1"/>
  <c r="I978"/>
  <c r="J978" s="1"/>
  <c r="I1114"/>
  <c r="J1114" s="1"/>
  <c r="I1243"/>
  <c r="J1243" s="1"/>
  <c r="I158"/>
  <c r="J158" s="1"/>
  <c r="I88"/>
  <c r="J88" s="1"/>
  <c r="J308"/>
  <c r="I378"/>
  <c r="J360"/>
  <c r="J472"/>
  <c r="I164"/>
  <c r="J164" s="1"/>
  <c r="I245"/>
  <c r="J245" s="1"/>
  <c r="J757"/>
  <c r="J146"/>
  <c r="I23"/>
  <c r="J23" s="1"/>
  <c r="I94"/>
  <c r="J94" s="1"/>
  <c r="J1392"/>
  <c r="J290"/>
  <c r="J1019"/>
  <c r="J1451"/>
  <c r="I1404"/>
  <c r="J1404" s="1"/>
  <c r="I1463"/>
  <c r="J1463" s="1"/>
  <c r="J515"/>
  <c r="I1292"/>
  <c r="J1292" s="1"/>
  <c r="I1348"/>
  <c r="J1348" s="1"/>
  <c r="I1160"/>
  <c r="J1160" s="1"/>
  <c r="I1229"/>
  <c r="J1229" s="1"/>
  <c r="J694"/>
  <c r="I1031"/>
  <c r="J1031" s="1"/>
  <c r="I1098"/>
  <c r="J1098" s="1"/>
  <c r="I1480"/>
  <c r="J1480" s="1"/>
  <c r="I239"/>
  <c r="J239" s="1"/>
  <c r="I906"/>
  <c r="J906" s="1"/>
  <c r="I962"/>
  <c r="J962" s="1"/>
  <c r="I769"/>
  <c r="J769" s="1"/>
  <c r="I839"/>
  <c r="J839" s="1"/>
  <c r="I646"/>
  <c r="J646" s="1"/>
  <c r="I706"/>
  <c r="J706" s="1"/>
  <c r="I527"/>
  <c r="J527" s="1"/>
  <c r="I594"/>
  <c r="J594" s="1"/>
  <c r="I433"/>
  <c r="J433" s="1"/>
  <c r="I484"/>
  <c r="J484" s="1"/>
  <c r="I302"/>
  <c r="J302" s="1"/>
  <c r="I372"/>
  <c r="J372" s="1"/>
  <c r="J236"/>
  <c r="J155" s="1"/>
  <c r="J85" s="1"/>
  <c r="J1214"/>
  <c r="J1215"/>
  <c r="I47"/>
  <c r="J47" s="1"/>
  <c r="J76" s="1"/>
  <c r="J421"/>
  <c r="J1086"/>
  <c r="J894"/>
  <c r="J1280"/>
  <c r="J1148"/>
  <c r="J1513"/>
  <c r="J1336"/>
  <c r="J950"/>
  <c r="J227"/>
  <c r="J827"/>
  <c r="J634"/>
  <c r="J582"/>
  <c r="I1405"/>
  <c r="I1464"/>
  <c r="I1293"/>
  <c r="I1349"/>
  <c r="I1161"/>
  <c r="I1230"/>
  <c r="I1032"/>
  <c r="J1032" s="1"/>
  <c r="I1099"/>
  <c r="I770"/>
  <c r="I840"/>
  <c r="J840" s="1"/>
  <c r="I647"/>
  <c r="I707"/>
  <c r="J707" s="1"/>
  <c r="I595"/>
  <c r="I434"/>
  <c r="I528"/>
  <c r="I303"/>
  <c r="I373"/>
  <c r="J373" s="1"/>
  <c r="I159"/>
  <c r="I240"/>
  <c r="I16"/>
  <c r="I89"/>
  <c r="J322" l="1"/>
  <c r="J378"/>
  <c r="J392" s="1"/>
  <c r="I437"/>
  <c r="J12"/>
  <c r="J1217"/>
  <c r="J1230"/>
  <c r="J1161"/>
  <c r="J1099"/>
  <c r="J770"/>
  <c r="J647"/>
  <c r="J595"/>
  <c r="J528"/>
  <c r="J434"/>
  <c r="J240"/>
  <c r="J259" s="1"/>
  <c r="J159"/>
  <c r="J178" s="1"/>
  <c r="J89"/>
  <c r="J108" s="1"/>
  <c r="J16"/>
  <c r="J37" s="1"/>
  <c r="J437" l="1"/>
  <c r="J451" s="1"/>
  <c r="I487"/>
  <c r="J1293"/>
  <c r="J487" l="1"/>
  <c r="J501" s="1"/>
  <c r="I534"/>
  <c r="J1349"/>
  <c r="J534" l="1"/>
  <c r="J549" s="1"/>
  <c r="I599"/>
  <c r="J1405"/>
  <c r="J599" l="1"/>
  <c r="J611" s="1"/>
  <c r="I651"/>
  <c r="J1464"/>
  <c r="J651" l="1"/>
  <c r="J663" s="1"/>
  <c r="I712"/>
  <c r="J712" l="1"/>
  <c r="J726" s="1"/>
  <c r="I775"/>
  <c r="J775" l="1"/>
  <c r="J789" s="1"/>
  <c r="I844"/>
  <c r="B29" i="19"/>
  <c r="D1468" i="2" s="1"/>
  <c r="J844" l="1"/>
  <c r="J858" s="1"/>
  <c r="I911"/>
  <c r="D1352"/>
  <c r="D1408"/>
  <c r="D1233"/>
  <c r="D1296"/>
  <c r="D1102"/>
  <c r="D1165"/>
  <c r="D966"/>
  <c r="D1035"/>
  <c r="D843"/>
  <c r="D910"/>
  <c r="D711"/>
  <c r="D774"/>
  <c r="D773"/>
  <c r="D598"/>
  <c r="D650"/>
  <c r="D486"/>
  <c r="D532"/>
  <c r="D307"/>
  <c r="D377"/>
  <c r="D379"/>
  <c r="D93"/>
  <c r="D163"/>
  <c r="D756"/>
  <c r="D1018"/>
  <c r="D1450"/>
  <c r="D429"/>
  <c r="D480" s="1"/>
  <c r="D523" s="1"/>
  <c r="J911" l="1"/>
  <c r="J925" s="1"/>
  <c r="I967"/>
  <c r="D590"/>
  <c r="D642"/>
  <c r="D702" s="1"/>
  <c r="D765" s="1"/>
  <c r="J967" l="1"/>
  <c r="J981" s="1"/>
  <c r="I1036"/>
  <c r="D835"/>
  <c r="D902"/>
  <c r="D958" s="1"/>
  <c r="D1027" s="1"/>
  <c r="D1094" s="1"/>
  <c r="J1036" l="1"/>
  <c r="J1053" s="1"/>
  <c r="I1103"/>
  <c r="D1156"/>
  <c r="D1225"/>
  <c r="D1288" s="1"/>
  <c r="D1344" s="1"/>
  <c r="D1400" s="1"/>
  <c r="D1459" s="1"/>
  <c r="D430"/>
  <c r="D481" s="1"/>
  <c r="D524" s="1"/>
  <c r="J1103" l="1"/>
  <c r="J1117" s="1"/>
  <c r="I1166"/>
  <c r="D591"/>
  <c r="D643"/>
  <c r="D703" s="1"/>
  <c r="D299"/>
  <c r="D236" s="1"/>
  <c r="D155" s="1"/>
  <c r="D85" s="1"/>
  <c r="D12" s="1"/>
  <c r="D1085"/>
  <c r="J1166" l="1"/>
  <c r="J1180" s="1"/>
  <c r="I1234"/>
  <c r="J1234" l="1"/>
  <c r="J1246" s="1"/>
  <c r="I1297"/>
  <c r="J1297" l="1"/>
  <c r="J1309" s="1"/>
  <c r="I1353"/>
  <c r="J1353" l="1"/>
  <c r="J1367" s="1"/>
  <c r="I1409"/>
  <c r="J1409" l="1"/>
  <c r="J1423" s="1"/>
  <c r="I1469"/>
  <c r="J1469" s="1"/>
  <c r="J1483" s="1"/>
  <c r="I6" i="19" l="1"/>
  <c r="J6" s="1"/>
  <c r="H368" i="2" l="1"/>
  <c r="I368" s="1"/>
  <c r="J368" s="1"/>
  <c r="J370" s="1"/>
  <c r="J425" s="1"/>
  <c r="H429"/>
  <c r="I429" s="1"/>
  <c r="J429" s="1"/>
  <c r="J431" s="1"/>
  <c r="J476" s="1"/>
  <c r="H298"/>
  <c r="I298" s="1"/>
  <c r="J298" s="1"/>
  <c r="J300" s="1"/>
  <c r="J364" s="1"/>
  <c r="H84"/>
  <c r="I84" s="1"/>
  <c r="J84" s="1"/>
  <c r="J86" s="1"/>
  <c r="J150" s="1"/>
  <c r="H154"/>
  <c r="I154" s="1"/>
  <c r="J154" s="1"/>
  <c r="J156" s="1"/>
  <c r="J231" s="1"/>
  <c r="H235"/>
  <c r="I235" s="1"/>
  <c r="J235" s="1"/>
  <c r="J237" s="1"/>
  <c r="J294" s="1"/>
  <c r="H11"/>
  <c r="I11" s="1"/>
  <c r="J11" s="1"/>
  <c r="J13" s="1"/>
  <c r="J80" s="1"/>
  <c r="H480"/>
  <c r="C12" i="1" l="1"/>
  <c r="C12" i="22"/>
  <c r="C9"/>
  <c r="C9" i="1"/>
  <c r="C11" i="22"/>
  <c r="C11" i="1"/>
  <c r="C13"/>
  <c r="C13" i="22"/>
  <c r="C14"/>
  <c r="C14" i="1"/>
  <c r="H523" i="2"/>
  <c r="I480"/>
  <c r="C10" i="22"/>
  <c r="C10" i="1"/>
  <c r="C15" i="22"/>
  <c r="C15" i="1"/>
  <c r="C13" i="21" l="1"/>
  <c r="J480" i="2"/>
  <c r="J482" s="1"/>
  <c r="J519" s="1"/>
  <c r="I523"/>
  <c r="C12" i="21"/>
  <c r="E13" i="22"/>
  <c r="C7" i="21"/>
  <c r="E15" i="22"/>
  <c r="E10"/>
  <c r="H590" i="2"/>
  <c r="H642"/>
  <c r="H702" s="1"/>
  <c r="H765" s="1"/>
  <c r="E14" i="22"/>
  <c r="C11" i="21"/>
  <c r="E11" i="22"/>
  <c r="E9"/>
  <c r="C10" i="21"/>
  <c r="C8"/>
  <c r="C9"/>
  <c r="E12" i="22"/>
  <c r="O8" i="21" l="1"/>
  <c r="I8"/>
  <c r="M8"/>
  <c r="K8"/>
  <c r="G8"/>
  <c r="S8" s="1"/>
  <c r="E8"/>
  <c r="Q8" s="1"/>
  <c r="K9"/>
  <c r="E9"/>
  <c r="Q9" s="1"/>
  <c r="I9"/>
  <c r="G9"/>
  <c r="S9" s="1"/>
  <c r="M9"/>
  <c r="O9"/>
  <c r="K10"/>
  <c r="S10"/>
  <c r="M10"/>
  <c r="G10"/>
  <c r="O10"/>
  <c r="Q10"/>
  <c r="E10"/>
  <c r="I10"/>
  <c r="S11"/>
  <c r="K11"/>
  <c r="Q11"/>
  <c r="O11"/>
  <c r="I11"/>
  <c r="G11"/>
  <c r="M11"/>
  <c r="E11"/>
  <c r="H835" i="2"/>
  <c r="H902"/>
  <c r="H958" s="1"/>
  <c r="H1027" s="1"/>
  <c r="H1094" s="1"/>
  <c r="O7" i="21"/>
  <c r="K7"/>
  <c r="G7"/>
  <c r="I7"/>
  <c r="M7"/>
  <c r="E7"/>
  <c r="C16" i="1"/>
  <c r="C16" i="22"/>
  <c r="M13" i="21"/>
  <c r="S13"/>
  <c r="K13"/>
  <c r="I13"/>
  <c r="Q13"/>
  <c r="G13"/>
  <c r="O13"/>
  <c r="E13"/>
  <c r="E12"/>
  <c r="G12"/>
  <c r="K12"/>
  <c r="S12"/>
  <c r="Q12"/>
  <c r="M12"/>
  <c r="O12"/>
  <c r="I12"/>
  <c r="I590" i="2"/>
  <c r="J590" s="1"/>
  <c r="J592" s="1"/>
  <c r="J638" s="1"/>
  <c r="J523"/>
  <c r="J525" s="1"/>
  <c r="J586" s="1"/>
  <c r="I642"/>
  <c r="J642" l="1"/>
  <c r="J644" s="1"/>
  <c r="J698" s="1"/>
  <c r="I702"/>
  <c r="C17" i="1"/>
  <c r="C17" i="22"/>
  <c r="E16"/>
  <c r="Q7" i="21"/>
  <c r="U12"/>
  <c r="V12" s="1"/>
  <c r="U13"/>
  <c r="U11"/>
  <c r="V11" s="1"/>
  <c r="U9"/>
  <c r="V9" s="1"/>
  <c r="C18" i="1"/>
  <c r="C18" i="22"/>
  <c r="C14" i="21"/>
  <c r="S7"/>
  <c r="H1156" i="2"/>
  <c r="H1225"/>
  <c r="H1288" s="1"/>
  <c r="H1344" s="1"/>
  <c r="H1400" s="1"/>
  <c r="H1459" s="1"/>
  <c r="U10" i="21"/>
  <c r="V10" s="1"/>
  <c r="U8"/>
  <c r="V8" s="1"/>
  <c r="O14" l="1"/>
  <c r="K14"/>
  <c r="M14"/>
  <c r="S14"/>
  <c r="E14"/>
  <c r="Q14"/>
  <c r="G14"/>
  <c r="I14"/>
  <c r="C16"/>
  <c r="C15"/>
  <c r="C19" i="1"/>
  <c r="C19" i="22"/>
  <c r="U7" i="21"/>
  <c r="E18" i="22"/>
  <c r="E17"/>
  <c r="J702" i="2"/>
  <c r="J704" s="1"/>
  <c r="J761" s="1"/>
  <c r="I765"/>
  <c r="V7" i="21" l="1"/>
  <c r="J765" i="2"/>
  <c r="J767" s="1"/>
  <c r="J831" s="1"/>
  <c r="I835"/>
  <c r="J835" s="1"/>
  <c r="J837" s="1"/>
  <c r="J898" s="1"/>
  <c r="I902"/>
  <c r="C17" i="21"/>
  <c r="O15"/>
  <c r="Q15"/>
  <c r="G15"/>
  <c r="I15"/>
  <c r="M15"/>
  <c r="E15"/>
  <c r="K15"/>
  <c r="S15"/>
  <c r="G16"/>
  <c r="S16"/>
  <c r="K16"/>
  <c r="O16"/>
  <c r="E16"/>
  <c r="Q16"/>
  <c r="M16"/>
  <c r="I16"/>
  <c r="U14"/>
  <c r="V14" s="1"/>
  <c r="C20" i="22"/>
  <c r="C20" i="1"/>
  <c r="E19" i="22"/>
  <c r="U16" i="21" l="1"/>
  <c r="V16" s="1"/>
  <c r="C18"/>
  <c r="M17"/>
  <c r="S17"/>
  <c r="G17"/>
  <c r="E17"/>
  <c r="K17"/>
  <c r="Q17"/>
  <c r="O17"/>
  <c r="I17"/>
  <c r="C22" i="1"/>
  <c r="C22" i="22"/>
  <c r="U15" i="21"/>
  <c r="V15" s="1"/>
  <c r="E20" i="22"/>
  <c r="J902" i="2"/>
  <c r="J904" s="1"/>
  <c r="J954" s="1"/>
  <c r="I958"/>
  <c r="C21" i="1"/>
  <c r="C21" i="22"/>
  <c r="E21" l="1"/>
  <c r="J958" i="2"/>
  <c r="J960" s="1"/>
  <c r="J1023" s="1"/>
  <c r="I1027"/>
  <c r="C19" i="21"/>
  <c r="C23" i="22"/>
  <c r="C23" i="1"/>
  <c r="E22" i="22"/>
  <c r="Q18" i="21"/>
  <c r="G18"/>
  <c r="E18"/>
  <c r="K18"/>
  <c r="I18"/>
  <c r="O18"/>
  <c r="M18"/>
  <c r="S18"/>
  <c r="C20"/>
  <c r="U17"/>
  <c r="G20" l="1"/>
  <c r="E20"/>
  <c r="O20"/>
  <c r="S20"/>
  <c r="I20"/>
  <c r="M20"/>
  <c r="Q20"/>
  <c r="K20"/>
  <c r="E23" i="22"/>
  <c r="E19" i="21"/>
  <c r="K19"/>
  <c r="G19"/>
  <c r="I19"/>
  <c r="Q19"/>
  <c r="S19"/>
  <c r="O19"/>
  <c r="M19"/>
  <c r="C24" i="22"/>
  <c r="C24" i="1"/>
  <c r="U18" i="21"/>
  <c r="V18" s="1"/>
  <c r="V17"/>
  <c r="C21"/>
  <c r="J1027" i="2"/>
  <c r="J1029" s="1"/>
  <c r="J1090" s="1"/>
  <c r="I1094"/>
  <c r="C25" i="1" l="1"/>
  <c r="C25" i="22"/>
  <c r="I1225" i="2"/>
  <c r="I1288" s="1"/>
  <c r="I1344" s="1"/>
  <c r="I1400" s="1"/>
  <c r="I1459" s="1"/>
  <c r="I1156"/>
  <c r="J1156" s="1"/>
  <c r="J1158" s="1"/>
  <c r="J1221" s="1"/>
  <c r="J1094"/>
  <c r="C22" i="21"/>
  <c r="U20"/>
  <c r="V20" s="1"/>
  <c r="M21"/>
  <c r="K21"/>
  <c r="G21"/>
  <c r="I21"/>
  <c r="Q21"/>
  <c r="S21"/>
  <c r="O21"/>
  <c r="E21"/>
  <c r="E24" i="22"/>
  <c r="U19" i="21"/>
  <c r="V19" s="1"/>
  <c r="Q22" l="1"/>
  <c r="S22"/>
  <c r="G22"/>
  <c r="K22"/>
  <c r="E22"/>
  <c r="M22"/>
  <c r="O22"/>
  <c r="I22"/>
  <c r="C27" i="1"/>
  <c r="C27" i="22"/>
  <c r="E25"/>
  <c r="J1096" i="2"/>
  <c r="J1152" s="1"/>
  <c r="J1225"/>
  <c r="C23" i="21"/>
  <c r="U21"/>
  <c r="V21" s="1"/>
  <c r="S23" l="1"/>
  <c r="Q23"/>
  <c r="E23"/>
  <c r="K23"/>
  <c r="M23"/>
  <c r="O23"/>
  <c r="G23"/>
  <c r="I23"/>
  <c r="E27" i="22"/>
  <c r="J1227" i="2"/>
  <c r="J1284" s="1"/>
  <c r="J1288"/>
  <c r="C25" i="21"/>
  <c r="C26" i="22"/>
  <c r="C26" i="1"/>
  <c r="U22" i="21"/>
  <c r="V22" s="1"/>
  <c r="U23" l="1"/>
  <c r="V23" s="1"/>
  <c r="C24"/>
  <c r="E25"/>
  <c r="K25"/>
  <c r="M25"/>
  <c r="O25"/>
  <c r="I25"/>
  <c r="G25"/>
  <c r="Q25"/>
  <c r="S25"/>
  <c r="J1290" i="2"/>
  <c r="J1340" s="1"/>
  <c r="J1344"/>
  <c r="E26" i="22"/>
  <c r="C28" i="1"/>
  <c r="C28" i="22"/>
  <c r="J1346" i="2" l="1"/>
  <c r="J1396" s="1"/>
  <c r="J1400"/>
  <c r="C26" i="21"/>
  <c r="C29" i="22"/>
  <c r="C29" i="1"/>
  <c r="E24" i="21"/>
  <c r="S24"/>
  <c r="Q24"/>
  <c r="I24"/>
  <c r="G24"/>
  <c r="K24"/>
  <c r="O24"/>
  <c r="M24"/>
  <c r="U25"/>
  <c r="V25" s="1"/>
  <c r="E28" i="22"/>
  <c r="E29" l="1"/>
  <c r="E26" i="21"/>
  <c r="G26"/>
  <c r="K26"/>
  <c r="I26"/>
  <c r="S26"/>
  <c r="M26"/>
  <c r="Q26"/>
  <c r="O26"/>
  <c r="C30" i="22"/>
  <c r="C30" i="1"/>
  <c r="C27" i="21"/>
  <c r="J1402" i="2"/>
  <c r="J1455" s="1"/>
  <c r="J1459"/>
  <c r="J1461" s="1"/>
  <c r="J1517" s="1"/>
  <c r="U24" i="21"/>
  <c r="V24" s="1"/>
  <c r="C31" i="1" l="1"/>
  <c r="C31" i="22"/>
  <c r="O27" i="21"/>
  <c r="G27"/>
  <c r="E27"/>
  <c r="S27"/>
  <c r="K27"/>
  <c r="Q27"/>
  <c r="M27"/>
  <c r="I27"/>
  <c r="E30" i="22"/>
  <c r="J1519" i="2"/>
  <c r="C32" i="22"/>
  <c r="C32" i="1"/>
  <c r="C28" i="21"/>
  <c r="U26"/>
  <c r="V26" s="1"/>
  <c r="U27" l="1"/>
  <c r="V27" s="1"/>
  <c r="E32" i="22"/>
  <c r="C33"/>
  <c r="C30" i="21"/>
  <c r="C33" i="1"/>
  <c r="D31" s="1"/>
  <c r="D29" i="21" s="1"/>
  <c r="C29"/>
  <c r="O28"/>
  <c r="S28"/>
  <c r="E28"/>
  <c r="K28"/>
  <c r="G28"/>
  <c r="Q28"/>
  <c r="M28"/>
  <c r="I28"/>
  <c r="F31" i="22"/>
  <c r="E31"/>
  <c r="U28" i="21" l="1"/>
  <c r="V28" s="1"/>
  <c r="M29"/>
  <c r="Q29"/>
  <c r="G29"/>
  <c r="S29"/>
  <c r="O29"/>
  <c r="E29"/>
  <c r="K29"/>
  <c r="I29"/>
  <c r="G30"/>
  <c r="G32" s="1"/>
  <c r="E30"/>
  <c r="E32" s="1"/>
  <c r="K30"/>
  <c r="K32" s="1"/>
  <c r="S30"/>
  <c r="S32" s="1"/>
  <c r="Q30"/>
  <c r="O30"/>
  <c r="O32" s="1"/>
  <c r="M30"/>
  <c r="M32" s="1"/>
  <c r="I30"/>
  <c r="C31"/>
  <c r="F13" i="22"/>
  <c r="F14"/>
  <c r="F9"/>
  <c r="F15"/>
  <c r="F10"/>
  <c r="F11"/>
  <c r="F12"/>
  <c r="F16"/>
  <c r="F18"/>
  <c r="F17"/>
  <c r="F19"/>
  <c r="F20"/>
  <c r="F21"/>
  <c r="F22"/>
  <c r="F23"/>
  <c r="F24"/>
  <c r="F25"/>
  <c r="F27"/>
  <c r="F26"/>
  <c r="F28"/>
  <c r="F29"/>
  <c r="F30"/>
  <c r="F32"/>
  <c r="D15" i="1"/>
  <c r="D13" i="21" s="1"/>
  <c r="D11" i="1"/>
  <c r="D9" i="21" s="1"/>
  <c r="D14" i="1"/>
  <c r="D12" i="21" s="1"/>
  <c r="D9" i="1"/>
  <c r="D10"/>
  <c r="D8" i="21" s="1"/>
  <c r="D13" i="1"/>
  <c r="D11" i="21" s="1"/>
  <c r="D12" i="1"/>
  <c r="D10" i="21" s="1"/>
  <c r="D16" i="1"/>
  <c r="D14" i="21" s="1"/>
  <c r="D18" i="1"/>
  <c r="D16" i="21" s="1"/>
  <c r="D17" i="1"/>
  <c r="D15" i="21" s="1"/>
  <c r="D19" i="1"/>
  <c r="D17" i="21" s="1"/>
  <c r="D20" i="1"/>
  <c r="D18" i="21" s="1"/>
  <c r="D21" i="1"/>
  <c r="D19" i="21" s="1"/>
  <c r="D22" i="1"/>
  <c r="D20" i="21" s="1"/>
  <c r="D23" i="1"/>
  <c r="D21" i="21" s="1"/>
  <c r="D24" i="1"/>
  <c r="D22" i="21" s="1"/>
  <c r="D25" i="1"/>
  <c r="D23" i="21" s="1"/>
  <c r="D27" i="1"/>
  <c r="D25" i="21" s="1"/>
  <c r="D26" i="1"/>
  <c r="D24" i="21" s="1"/>
  <c r="D28" i="1"/>
  <c r="D26" i="21" s="1"/>
  <c r="D29" i="1"/>
  <c r="D27" i="21" s="1"/>
  <c r="D30" i="1"/>
  <c r="D28" i="21" s="1"/>
  <c r="D32" i="1"/>
  <c r="D30" i="21" s="1"/>
  <c r="Q32" l="1"/>
  <c r="U29"/>
  <c r="V29" s="1"/>
  <c r="P32"/>
  <c r="T32"/>
  <c r="D33" i="1"/>
  <c r="D7" i="21"/>
  <c r="D31" s="1"/>
  <c r="N32"/>
  <c r="R32"/>
  <c r="L32"/>
  <c r="H32"/>
  <c r="U30"/>
  <c r="I32"/>
  <c r="J32" s="1"/>
  <c r="F32"/>
  <c r="F33" s="1"/>
  <c r="E33"/>
  <c r="G33" s="1"/>
  <c r="F33" i="22"/>
  <c r="V30" i="21" l="1"/>
  <c r="U32"/>
  <c r="V32" s="1"/>
  <c r="H33"/>
  <c r="I33"/>
  <c r="J33" l="1"/>
  <c r="K33"/>
  <c r="L33" l="1"/>
  <c r="M33"/>
  <c r="N33" l="1"/>
  <c r="O33"/>
  <c r="P33" l="1"/>
  <c r="Q33"/>
  <c r="S33" l="1"/>
  <c r="T33" s="1"/>
  <c r="R33"/>
</calcChain>
</file>

<file path=xl/sharedStrings.xml><?xml version="1.0" encoding="utf-8"?>
<sst xmlns="http://schemas.openxmlformats.org/spreadsheetml/2006/main" count="7372" uniqueCount="2480">
  <si>
    <t>OBRA:</t>
  </si>
  <si>
    <t>END.:</t>
  </si>
  <si>
    <t>RESUMO DO ORÇAMENTO</t>
  </si>
  <si>
    <t>ITEM</t>
  </si>
  <si>
    <t>DESCRIÇÃO</t>
  </si>
  <si>
    <t>VALOR R$</t>
  </si>
  <si>
    <t>%</t>
  </si>
  <si>
    <t>1.0</t>
  </si>
  <si>
    <t>5.0</t>
  </si>
  <si>
    <t>7.0</t>
  </si>
  <si>
    <t>TOTAL GERAL PARA A OBRA -----&gt;</t>
  </si>
  <si>
    <t>REFERÊNCIAS</t>
  </si>
  <si>
    <t>BDI</t>
  </si>
  <si>
    <t>COD. REF.</t>
  </si>
  <si>
    <t>FONTE</t>
  </si>
  <si>
    <t>UNID.</t>
  </si>
  <si>
    <t>QTDE</t>
  </si>
  <si>
    <t>TOTAL</t>
  </si>
  <si>
    <t>1.1</t>
  </si>
  <si>
    <t>5.1</t>
  </si>
  <si>
    <t>7.1</t>
  </si>
  <si>
    <t>MAPA DE ORÇAMENTOS</t>
  </si>
  <si>
    <t>GERAL</t>
  </si>
  <si>
    <t>Preço Mediano</t>
  </si>
  <si>
    <t>MAPA DE COTAÇÃO DE MERCADO N° 01</t>
  </si>
  <si>
    <t>FORNECEDORES</t>
  </si>
  <si>
    <t>VALORES</t>
  </si>
  <si>
    <t>VALOR MÉDIO</t>
  </si>
  <si>
    <t>11.1</t>
  </si>
  <si>
    <t>E A BARRO DE ASSIS - ME</t>
  </si>
  <si>
    <t>PANTANAL COLOR LTDA.</t>
  </si>
  <si>
    <t>FRONT LIGHT PAINÉIS LUMINOSOS LTDA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</si>
  <si>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</si>
  <si>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</si>
  <si>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</si>
  <si>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</si>
  <si>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</si>
  <si>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</si>
  <si>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</si>
  <si>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</si>
  <si>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</si>
  <si>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</si>
  <si>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</si>
  <si>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</si>
  <si>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</si>
  <si>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</si>
  <si>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</si>
  <si>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</si>
  <si>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</si>
  <si>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</si>
  <si>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11.21</t>
  </si>
  <si>
    <t>11.22</t>
  </si>
  <si>
    <t>11.23</t>
  </si>
  <si>
    <t>11.24</t>
  </si>
  <si>
    <t>11.25</t>
  </si>
  <si>
    <t>11.26</t>
  </si>
  <si>
    <t>11.27</t>
  </si>
  <si>
    <t>ANDRADE FLORENTINO E SILVA LTDA</t>
  </si>
  <si>
    <t>AÇOBETT IND. COM. LTDA</t>
  </si>
  <si>
    <t>METALÚRGICA BOM PREÇO</t>
  </si>
  <si>
    <t>11.28</t>
  </si>
  <si>
    <t>11.29</t>
  </si>
  <si>
    <t>11.30</t>
  </si>
  <si>
    <t>11.34</t>
  </si>
  <si>
    <t>ÓCULO CIRCULAR DIÂMETRO 600 MM</t>
  </si>
  <si>
    <t>9.10</t>
  </si>
  <si>
    <t>BLOCO DE CONCRETO VAZADO 45X60CM ESPESSUMRA 90CM - CONCREGRAMA (cotações das páginas 233/235 do processo)</t>
  </si>
  <si>
    <t>TODIMO</t>
  </si>
  <si>
    <t>VERDÃO</t>
  </si>
  <si>
    <t>BIGOLIN</t>
  </si>
  <si>
    <t>QUADRO DE DISTRIBUIÇÃO PARA 4 DISJUNTORES</t>
  </si>
  <si>
    <t>QUADRO DE DISTROBUIÇÃO PARA 8 DISJUNTORES</t>
  </si>
  <si>
    <t>PREFEITURA MUNICIPAL DE CUIABÁ</t>
  </si>
  <si>
    <t>Mapa de Cotação (MC02)</t>
  </si>
  <si>
    <t>PROJETO VILLA D'OURO</t>
  </si>
  <si>
    <t>Restauração no Centro Histórico de Cuiabá</t>
  </si>
  <si>
    <t xml:space="preserve">Obra: </t>
  </si>
  <si>
    <t>Leis Sociais:</t>
  </si>
  <si>
    <t xml:space="preserve">Local: </t>
  </si>
  <si>
    <t>BDI:</t>
  </si>
  <si>
    <t>ESTIMATIVA DE CUSTO</t>
  </si>
  <si>
    <t>CNPJ</t>
  </si>
  <si>
    <t>TELEFONE</t>
  </si>
  <si>
    <t>CONTATO</t>
  </si>
  <si>
    <t>DATA</t>
  </si>
  <si>
    <t>Fornecedor</t>
  </si>
  <si>
    <t>DSS</t>
  </si>
  <si>
    <t>03.627.226/0001-05</t>
  </si>
  <si>
    <t>(65) 9973-0676</t>
  </si>
  <si>
    <t>Humberto</t>
  </si>
  <si>
    <t>STELMAT</t>
  </si>
  <si>
    <t>00.950.386/0001-00</t>
  </si>
  <si>
    <t>(65)3051-5757</t>
  </si>
  <si>
    <t>Lumara</t>
  </si>
  <si>
    <t>WWWNET</t>
  </si>
  <si>
    <t>04.645.332/0001-84</t>
  </si>
  <si>
    <t>(65) 99818290</t>
  </si>
  <si>
    <t>Itanei</t>
  </si>
  <si>
    <t>1 ­ Material de Infra estrutura</t>
  </si>
  <si>
    <t>Item</t>
  </si>
  <si>
    <t>Descrição do Material</t>
  </si>
  <si>
    <t>Preço Médio</t>
  </si>
  <si>
    <t>Unit. R$</t>
  </si>
  <si>
    <t>ELETROCALHA LISA TIPO C 50X50X3000MM #22</t>
  </si>
  <si>
    <t>TAMPA DE PRESSÃO 50X3000MM #24</t>
  </si>
  <si>
    <t>Te horizontal 90° 50x50mm com tampa</t>
  </si>
  <si>
    <t>Curva horizontal 90° - 50x50mm com tampa</t>
  </si>
  <si>
    <t>Cruzeta horizontal 90° - 50x50mm com tampa</t>
  </si>
  <si>
    <t>Curva inversão 90° - 50x50mm com tampa</t>
  </si>
  <si>
    <t>Curva vertical externa - 50x50mm com tampa</t>
  </si>
  <si>
    <t>Curva vertical interna - 50x50mm com tampa</t>
  </si>
  <si>
    <t>Terminal de fechamento - 50x50mm</t>
  </si>
  <si>
    <t xml:space="preserve">Mão Francesa simples 150mm para eletrocalha </t>
  </si>
  <si>
    <t>SUSPENSÃO VERTICAL 50X50MM #22</t>
  </si>
  <si>
    <t>Junção simples ABA 50 x 160mm p/ calha</t>
  </si>
  <si>
    <t>Tirante rosca total 1/4" x3000m</t>
  </si>
  <si>
    <t>CHUMBADOR CBA 1/4"</t>
  </si>
  <si>
    <t>Parafuso cabeça lentilha autotravante rosca 1/4x1/2" </t>
  </si>
  <si>
    <t>Arruela lisa 1/4" </t>
  </si>
  <si>
    <t>Porca sextava zincada 1/4" </t>
  </si>
  <si>
    <t>Eletroduto Flexível Mtálico Revestido de Borracha Tipo "SEAL-TUBE" DE Ø 1"</t>
  </si>
  <si>
    <t>Saída horizontal para eletroduto 1"</t>
  </si>
  <si>
    <t>Box multiplo 1"</t>
  </si>
  <si>
    <t>BUCHA PARA ELETRODUTOS 1"</t>
  </si>
  <si>
    <t>ARRUELA PARA ELETRODUTOS 1"</t>
  </si>
  <si>
    <t>Canaleta fechada de aluminio 73x25mm Dupla com tampa</t>
  </si>
  <si>
    <t>Tampa em aluminio plana ranhurada p/ duto 73 X 25 X 3000MM Branco</t>
  </si>
  <si>
    <t xml:space="preserve">Porta equipamentos stander para 2 x RJ 45 e 2 blocos Dutotec - cor branca  </t>
  </si>
  <si>
    <t>Arremate de tampa branco linha standard</t>
  </si>
  <si>
    <t>Tampa terminal para canaleta 25 mm de altura</t>
  </si>
  <si>
    <t>Caixa de Derivação tipo X 1x1" para canaleta 25 mm de altura</t>
  </si>
  <si>
    <t>Caixa de Derivação tipo E 1x1" para canaleta 25 mm de altura</t>
  </si>
  <si>
    <t>Adaptador para eletroduto 3 x 1" para canaleta 25 mm de altura</t>
  </si>
  <si>
    <t>Módulo cego para porta equipamento</t>
  </si>
  <si>
    <t>Curva horizontal 90º</t>
  </si>
  <si>
    <t>Curva vertical externa 90º</t>
  </si>
  <si>
    <t>Luva de Arremate Aluminio Perfil 25 Branco</t>
  </si>
  <si>
    <t>Parafuso para Bucha S8</t>
  </si>
  <si>
    <t>Rolo de Fita isolante 20m</t>
  </si>
  <si>
    <t>Bucha S8</t>
  </si>
  <si>
    <t>2 ­ Material Lógico</t>
  </si>
  <si>
    <t>Preço de Custo</t>
  </si>
  <si>
    <t>Conector fêmea RJ-45 Cat. 6</t>
  </si>
  <si>
    <t>Armário de telecomunicação fechado 12Ux460mm</t>
  </si>
  <si>
    <t>SISTEMA DUPLO DE VENTILACAO (P/ RACK PAREDE) PLUG NBR</t>
  </si>
  <si>
    <t>Guia de cabo fechado com tampa 1U X 19" - preto</t>
  </si>
  <si>
    <t>Painel de fechamento 19" X 1U preto</t>
  </si>
  <si>
    <t>Patch panel carregado 24 portas Cat. 6</t>
  </si>
  <si>
    <t>Patch cord RJ-45/RJ-45 Cat. 6 - 1,5m azul</t>
  </si>
  <si>
    <t>Patch cord RJ-45/RJ-45 Cat. 6 - 2,5m azul</t>
  </si>
  <si>
    <t>CABO UTP 6 PARES -CATEGORIA 6</t>
  </si>
  <si>
    <t>Abraçadeira PVC branca 20cm</t>
  </si>
  <si>
    <t>Fita rotuladora M-TAPE branco</t>
  </si>
  <si>
    <t>Régua de tomadas 8 tomadas 2P+T</t>
  </si>
  <si>
    <t>Anilha WIC Colorida NR. 0 A 9</t>
  </si>
  <si>
    <t>Abraçadeira de velcro ­ rolo 4,5m</t>
  </si>
  <si>
    <t>SWITCH 24P 10/100/1000 +4P SFP L2 C/GER</t>
  </si>
  <si>
    <t>CERTIFICAÇÃO DE PONTOS DE CABEAMENTO ESTRUTURADO</t>
  </si>
  <si>
    <t>Parafuso/porca gaiola</t>
  </si>
  <si>
    <t>3 ­ Material Telefonia</t>
  </si>
  <si>
    <t>Voice panel 20 portas RJ-11 - IDC 110</t>
  </si>
  <si>
    <t>Patch cord RJ-11/RJ-11 2 pares - 1,5m</t>
  </si>
  <si>
    <t>Bloco de engate rápido M10-A</t>
  </si>
  <si>
    <t>Suporte baixo para 1 bloco M10</t>
  </si>
  <si>
    <t>Cabo CI 50x20 Pares</t>
  </si>
  <si>
    <t>Distribuidor geral de telefônia sobrepor 40x40x15cm fundo madeira</t>
  </si>
  <si>
    <t>BRTL-2 A 5 - BARRAMENTO TLB 2 A 5</t>
  </si>
  <si>
    <t>Barra de aterramento para Bloco M10</t>
  </si>
  <si>
    <t>Módulo de Proteção MPEI para Bloco M10-A</t>
  </si>
  <si>
    <t>Fio jumper preto X laranja</t>
  </si>
  <si>
    <t>Anel guia n 3</t>
  </si>
  <si>
    <t>Abraçadeira BC n 2</t>
  </si>
  <si>
    <t>Cálculo BDI</t>
  </si>
  <si>
    <t>Prop.:</t>
  </si>
  <si>
    <t/>
  </si>
  <si>
    <t>QUADRO DE COMPOSIÇÃO DO BDI</t>
  </si>
  <si>
    <t>SIGLA</t>
  </si>
  <si>
    <t>Administração Central</t>
  </si>
  <si>
    <t>AC</t>
  </si>
  <si>
    <t>R</t>
  </si>
  <si>
    <t>Lucro Bruto</t>
  </si>
  <si>
    <t>PIS</t>
  </si>
  <si>
    <t>7.2</t>
  </si>
  <si>
    <t>COFINS</t>
  </si>
  <si>
    <t>7.3</t>
  </si>
  <si>
    <t>ISS</t>
  </si>
  <si>
    <t>7.4</t>
  </si>
  <si>
    <t>BDI Calculado -----&gt;</t>
  </si>
  <si>
    <t>Obra:</t>
  </si>
  <si>
    <t>Local:</t>
  </si>
  <si>
    <t>Ref.:</t>
  </si>
  <si>
    <t>COMPOSIÇÃO DE LEIS SOCIAIS SOBRE MÃO DE OBRA - COM DESONERAÇÃO</t>
  </si>
  <si>
    <t>CÓDIGO</t>
  </si>
  <si>
    <t>Discriminação</t>
  </si>
  <si>
    <t>PERCENTUAIS</t>
  </si>
  <si>
    <t>GRUPO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</si>
  <si>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</si>
  <si>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</si>
  <si>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</si>
  <si>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</si>
  <si>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</si>
  <si>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</si>
  <si>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</si>
  <si>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</si>
  <si>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</si>
  <si>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</si>
  <si>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</si>
  <si>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</si>
  <si>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</si>
  <si>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</si>
  <si>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</si>
  <si>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</si>
  <si>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</si>
  <si>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</si>
  <si>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GRUPO C</t>
  </si>
  <si>
    <t>C1</t>
  </si>
  <si>
    <t>C2</t>
  </si>
  <si>
    <t>C3</t>
  </si>
  <si>
    <t>GRUPO D</t>
  </si>
  <si>
    <t>D1</t>
  </si>
  <si>
    <t>2.1.1</t>
  </si>
  <si>
    <t>CJ</t>
  </si>
  <si>
    <t>2.1.2</t>
  </si>
  <si>
    <t>2.1.3</t>
  </si>
  <si>
    <t>2.1.4</t>
  </si>
  <si>
    <t>2.1.5</t>
  </si>
  <si>
    <t>2.1.6</t>
  </si>
  <si>
    <t>2.1.7</t>
  </si>
  <si>
    <t>PÇ</t>
  </si>
  <si>
    <t>2.1.8</t>
  </si>
  <si>
    <t>2.1.9</t>
  </si>
  <si>
    <t>2.1.10</t>
  </si>
  <si>
    <t>Conjunto split com capacidade de 30000 BTU/h, composto por:
TAG PROJETO: EV/CD-01/02/03/04/05/06/07/08/09/10/
14/15/16/17/18/20/21/22/23/24/25/28/29/30/361/32/33/34/35/36/37/
38/39/40/41/42/43/48/49/50/51
01 unidade evaporadora do tipo Hi Wall mod:SHFI-30000-2;
01 unidade condensadora mod:SHFE-30000-2;
Ref.: Elgin ou equivalente técnico
Fornecimento e instalação</t>
  </si>
  <si>
    <t>Conjunto split com capacidade de 18000 BTU/h, composto por:
TAG PROJETO: EV/CD-26/27
01 unidade evaporadora do tipo Hi Wall mod:42MACA18S5;
01 unidade condensadora mod:38KCX18S5 ;
Ref.: Midea ou equivalente técnico
Fornecimento e instalação</t>
  </si>
  <si>
    <t>Conjunto split com capacidade de 22000 BTU/h, composto por:
TAG PROJETO: EV/CD-11/12/13/19/46
01 unidade evaporadora do tipo Hi Wall mod:42MKCA22M5;
01 unidade condensadora mod:38MKCA22M5 ;
Ref.: Midea ou equivalente técnico
Fornecimento e instalação</t>
  </si>
  <si>
    <t>Conjunto split com capacidade de 12000 BTU/h, composto por:
TAG PROJETO: EV/CD-44/45/47
01 unidade evaporadora do tipo Hi Wall mod:42MKCA09M5;
01 unidade condensadora mod:38MKCA09M5;
Ref.: Midea ou equivalente técnico
Fornecimento e instalação</t>
  </si>
  <si>
    <t>Ventilador para suprimento de ar externo mod.  TD 1300/250 SILENT
TAG PROJETO:  VI-01/02/03/04/05/06/07/08/09/11/12/13/15/16/
17/18/19/20/21/22/27/28
Vazão de ar de 800m³/h;
Pressão Estática total de 23,00mmCa;
Motor de 0,25kVA;
Ref. Soler &amp; Palau ou equivalente técnico
Fornecimento e instalação</t>
  </si>
  <si>
    <t>Ventilador para suprimento de ar externo mod.  TD 500/150 SILENT
TAG PROJETO:  VI-14/15
Vazão de ar de 200m³/h;
Pressão Estática total de 18,00mmCa;
Motor de 0,10kVA;
Ref. Soler &amp; Palau ou equivalente técnico
Fornecimento e instalação</t>
  </si>
  <si>
    <t>Ventilador para suprimento de ar externo mod.  TD 350/125 SILENT
TAG PROJETO:  VI-10/23/24/26
Vazão de ar de 100m³/h;
Pressão Estática total de 18,00mmCa;
Motor de 0,05kVA;
Ref. Soler &amp; Palau ou equivalente técnico
Fornecimento e instalação</t>
  </si>
  <si>
    <t>Conjunto split com capacidade de 18000 BTU/h, composto por:
TAG PROJETO: EV/CD-01/02/04/05
01 unidade evaporadora do tipo Hi Wall mod:42MACA18S5;
01 unidade condensadora mod:38KCX18S5 ;
Ref.: Midea ou equivalente técnico
Fornecimento e instalação</t>
  </si>
  <si>
    <t>Conjunto split com capacidade de 12000 BTU/h, composto por:
TAG PROJETO: EV/CD-03
01 unidade evaporadora do tipo Hi Wall mod:42MKCA09M5;
01 unidade condensadora mod:38MKCA09M5;
Ref.: Midea ou equivalente técnico
Fornecimento e instalação</t>
  </si>
  <si>
    <t>Conjunto split com capacidade de 22000 BTU/h, composto por:
TAG PROJETO: EV/CD-10/11/14/15/21/22
01 unidade evaporadora do tipo Hi Wall mod:42MKCA22M5;
01 unidade condensadora mod:38MKCA22M5 ;
Ref.: Midea ou equivalente técnico
Fornecimento e instalação</t>
  </si>
  <si>
    <t>Conjunto split com capacidade de 30000 BTU/h, composto por:
TAG PROJETO: EV/CD-06/07/08/09/12/13/16/17/18/19/20
01 unidade evaporadora do tipo Hi Wall mod:SHFI-30000-2;
01 unidade condensadora mod:SHFE-30000-2;
Ref.: Elgin ou equivalente técnico
Fornecimento e instalação</t>
  </si>
  <si>
    <t>Conjunto split com capacidade de 18000 BTU/h, composto por:
TAG PROJETO: EV/CD-01/02/03/04/05/06/07/12/13/14/15/16/17/18/19/
20/21/22/23/34/35
01 unidade evaporadora do tipo Hi Wall mod:42MACA18S5;
01 unidade condensadora mod:38KCX18S5 ;
Ref.: Midea ou equivalente técnico
Fornecimento e instalação</t>
  </si>
  <si>
    <t>Conjunto split com capacidade de 9000 BTU/h, composto por:
TAG PROJETO: EV/CD-10
01 unidade evaporadora do tipo Hi Wall mod:42MKCA09M5;
01 unidade condensadora mod:38MKCA09M5;
Ref.: Midea ou equivalente técnico
Fornecimento e instalação</t>
  </si>
  <si>
    <t>Ventilador para suprimento de ar externo mod.  TD 1300/250 SILENT
TAG PROJETO:  VI-01/04/05/06/07/08/09/10/11
Vazão de ar de 800m³/h;
Pressão Estática total de 23,00mmCa;
Motor de 0,25kVA;
Ref. Soler &amp; Palau ou equivalente técnico
Fornecimento e instalação</t>
  </si>
  <si>
    <t>Ventilador para suprimento de ar externo mod.  TD 350/125 SILENT
TAG PROJETO:  VI-02
Vazão de ar de 100m³/h;
Pressão Estática total de 18,00mmCa;
Motor de 0,05kVA;
Ref. Soler &amp; Palau ou equivalente técnico
Fornecimento e instalação</t>
  </si>
  <si>
    <t>Ventilador para suprimento de ar externo mod.  TD 500/150 SILENT
TAG PROJETO:  VI-03
Vazão de ar de 200m³/h;
Pressão Estática total de 18,00mmCa;
Motor de 0,10kVA;
Ref. Soler &amp; Palau ou equivalente técnico
Fornecimento e instalação</t>
  </si>
  <si>
    <t>Conjunto split com capacidade de 30000 BTU/h, composto por:
TAG PROJETO: EV/CD-01/02/24/25
01 unidade evaporadora do tipo Hi Wall mod:SHFI-30000-2;
01 unidade condensadora mod:SHFE-30000-2;
Ref.: Elgin ou equivalente técnico
Fornecimento e instalação</t>
  </si>
  <si>
    <t>Conjunto split com capacidade de 22000 BTU/h, composto por:
TAG PROJETO: EV/CD-03/04/07/08/10/11/12/13/18/19/20/21/22
01 unidade evaporadora do tipo Hi Wall mod:42MKCA22M5;
01 unidade condensadora mod:38MKCA22M5 ;
Ref.: Midea ou equivalente técnico
Fornecimento e instalação</t>
  </si>
  <si>
    <t>Conjunto split com capacidade de 18000 BTU/h, composto por:
TAG PROJETO: EV/CD-05/06/09/14/15/16/17
01 unidade evaporadora do tipo Hi Wall mod:42MACA18S5;
01 unidade condensadora mod:38KCX18S5;
Ref.: Midea ou equivalente técnico
Fornecimento e instalação</t>
  </si>
  <si>
    <t>Conjunto split com capacidade de 9000 BTU/h, composto por:
TAG PROJETO: EV/CD-23
01 unidade evaporadora do tipo Hi Wall mod:42MACA09S5 ;
01 unidade condensadora mod:38KCX09S5;
Ref.: Midea ou equivalente técnico
Fornecimento e instalação</t>
  </si>
  <si>
    <t>Ventilador para suprimento de ar externo mod.  TD 1300/250 SILENT
TAG PROJETO:  VI-01/02/03/04/06/07/08/09/10/13
Vazão de ar de 800m³/h;
Pressão Estática total de 23,00mmCa;
Motor de 0,25kVA;
Ref. Soler &amp; Palau ou equivalente técnico
Fornecimento e instalação</t>
  </si>
  <si>
    <t>Ventilador para suprimento de ar externo mod.  TD 500/150 SILENT
TAG PROJETO:  VI-05
Vazão de ar de 200m³/h;
Pressão Estática total de 18,00mmCa;
Motor de 0,10kVA;
Ref. Soler &amp; Palau ou equivalente técnico
Fornecimento e instalação</t>
  </si>
  <si>
    <t>Ventilador para suprimento de ar externo mod.  TD 1300/250 SILENT
TAG PROJETO:  VI-11
Vazão de ar de 1000m³/h;
Pressão Estática total de 23,00mmCa;
Motor de 0,25kVA;
Ref. Soler &amp; Palau ou equivalente técnico
Fornecimento e instalação</t>
  </si>
  <si>
    <t>Ventilador para suprimento de ar externo mod.  TD 350/125 SILENT
TAG PROJETO:  VI-12
Vazão de ar de 100m³/h;
Pressão Estática total de 18,00mmCa;
Motor de 0,05kVA;
Ref. Soler &amp; Palau ou equivalente técnico
Fornecimento e instalação</t>
  </si>
  <si>
    <t>Conjunto split com capacidade de 30000 BTU/h, composto por:
TAG PROJETO: EV/CD-01/02/03/04/09/10/11/12/13/14/15/16/17/
18/19/20
01 unidade evaporadora do tipo Hi Wall mod:SHFI-30000-2;
01 unidade condensadora mod:SHFE-30000-2;
Ref.: Elgin ou equivalente técnico
Fornecimento e instalação</t>
  </si>
  <si>
    <t>Conjunto split com capacidade de 12000 BTU/h, composto por:
TAG PROJETO: EV/CD-05/06/07
01 unidade evaporadora do tipo Hi Wall mod:42MKCA12M5 ;
01 unidade condensadora mod:38MKCA12M5;
Ref.: Midea ou equivalente técnico
Fornecimento e instalação</t>
  </si>
  <si>
    <t>Conjunto split com capacidade de 18000 BTU/h, composto por:
TAG PROJETO: EV/CD-08
01 unidade evaporadora do tipo Hi Wall mod:42MACA18S5;
01 unidade condensadora mod:38KCX18S5;
Ref.: Midea ou equivalente técnico
Fornecimento e instalação</t>
  </si>
  <si>
    <t>Ventilador para suprimento de ar externo mod.  TD 1300/250 SILENT
TAG PROJETO:  VI-01/02/06/07/08/09/10/11
Vazão de ar de 800m³/h;
Pressão Estática total de 23,00mmCa;
Motor de 0,25kVA;
Ref. Soler &amp; Palau ou equivalente técnico
Fornecimento e instalação</t>
  </si>
  <si>
    <t>Ventilador para suprimento de ar externo mod.  TD 350/125 SILENT
TAG PROJETO:  VI-03/05
Vazão de ar de 100m³/h;
Pressão Estática total de 18,00mmCa;
Motor de 0,05kVA;
Ref. Soler &amp; Palau ou equivalente técnico
Fornecimento e instalação</t>
  </si>
  <si>
    <t>Ventilador para suprimento de ar externo mod.  TD 500/150 SILENT
TAG PROJETO:  VI-04
Vazão de ar de 200m³/h;
Pressão Estática total de 18,00mmCa;
Motor de 0,10kVA;
Ref. Soler &amp; Palau ou equivalente técnico
Fornecimento e instalação</t>
  </si>
  <si>
    <t>Conjunto split com capacidade de 18000 BTU/h, composto por:
TAG PROJETO: EV/CD-01/02/03/04/05/06/07/08/09/
10/11/12/13/14/15/16/18
01 unidade evaporadora do tipo Hi Wall mod:42MACA18S5;
01 unidade condensadora mod:38KCX18S5;
Ref.: Midea ou equivalente técnico
Fornecimento e instalação</t>
  </si>
  <si>
    <t>Conjunto split com capacidade de 12000 BTU/h, composto por:
TAG PROJETO: EV/CD-17
01 unidade evaporadora do tipo Hi Wall mod:42MKCA12M5 ;
01 unidade condensadora mod:38MKCA12M5;
Ref.: Elgin ou equivalente técnico
Fornecimento e instalação</t>
  </si>
  <si>
    <t>Ventilador para suprimento de ar externo mod.  TD 1300/250 SILENT
TAG PROJETO:  VI-01/02/03/04/05/06/07/08
Vazão de ar de 800m³/h;
Pressão Estática total de 23,00mmCa;
Motor de 0,25kVA;
Ref. Soler &amp; Palau ou equivalente técnico
Fornecimento e instalação</t>
  </si>
  <si>
    <t>Ventilador para suprimento de ar externo mod.  TD 500/150 SILENT
TAG PROJETO:  VI-09
Vazão de ar de 200m³/h;
Pressão Estática total de 18,00mmCa;
Motor de 0,10kVA;
Ref. Soler &amp; Palau ou equivalente técnico
Fornecimento e instalação</t>
  </si>
  <si>
    <t>Ventilador para suprimento de ar externo mod.  TD 350/125 SILENT
TAG PROJETO:  VI-10
Vazão de ar de 100m³/h;
Pressão Estática total de 18,00mmCa;
Motor de 0,05kVA;
Ref. Soler &amp; Palau ou equivalente técnico
Fornecimento e instalação</t>
  </si>
  <si>
    <t>Conjunto split com capacidade de 22000 BTU/h, composto por:
TAG PROJETO: EV/CD-01/04/05/08/09
01 unidade evaporadora do tipo Hi Wall mod:42MKCA22M5;
01 unidade condensadora mod:38MKCA22M5 ;
Ref.: Midea ou equivalente técnico
Fornecimento e instalação</t>
  </si>
  <si>
    <t>Conjunto split com capacidade de 30000 BTU/h, composto por:
TAG PROJETO: EV/CD-02/03/06/07
01 unidade evaporadora do tipo Hi Wall mod:SHFI-30000-2;
01 unidade condensadora mod:SHFE-30000-2;
Ref.: Elgin ou equivalente técnico
Fornecimento e instalação</t>
  </si>
  <si>
    <t>Ventilador para suprimento de ar externo mod.  TD 500/150 SILENT
TAG PROJETO:  VI-01
Vazão de ar de 200m³/h;
Pressão Estática total de 18,00mmCa;
Motor de 0,10kVA;
Ref. Soler &amp; Palau ou equivalente técnico
Fornecimento e instalação</t>
  </si>
  <si>
    <t>Ventilador para suprimento de ar externo mod.  TD 1300/250 SILENT
TAG PROJETO:  VI-02/03/04
Vazão de ar de 800m³/h;
Pressão Estática total de 23,00mmCa;
Motor de 0,25kVA;
Ref. Soler &amp; Palau ou equivalente técnico
Fornecimento e instalação</t>
  </si>
  <si>
    <t>Ventilador para suprimento de ar externo mod.  TD 350/125 SILENT
TAG PROJETO:  VI-05/06
Vazão de ar de 100m³/h;
Pressão Estática total de 18,00mmCa;
Motor de 0,05kVA;
Ref. Soler &amp; Palau ou equivalente técnico
Fornecimento e instalação</t>
  </si>
  <si>
    <t>Conjunto split com capacidade de 36000 BTU/h, composto por:
TAG PROJETO:EV/CD-01/02/05/06
01 unidade evaporadora do tipo Piso Teto mod:PHFI 36.000-2;
01 unidade condensadora mod:PHFE 36.000-2;
Ref.: Elgin ou equivalente técnico
Fornecimento e instalação</t>
  </si>
  <si>
    <t>Conjunto split com capacidade de 30000 BTU/h, composto por:
TAG PROJETO: EV/CD-03/04/12/13/14/15
01 unidade evaporadora do tipo Hi Wall mod:SHFI-30000-2;
01 unidade condensadora mod:SHFE-30000-2;
Ref.: Elgin ou equivalente técnico
Fornecimento e instalação</t>
  </si>
  <si>
    <t>Conjunto split com capacidade de 48000 BTU/h, composto por:
TAG PROJETO: EV/CD-07/08
01 unidade evaporadora do tipo Piso Teto mod:PHFI 48.000-2;
01 unidade condensadora mod:PHFE 48.000-2;
Ref.: Elgin ou equivalente técnico
Fornecimento e instalação</t>
  </si>
  <si>
    <t>Conjunto split com capacidade de 12000 BTU/h, composto por:
TAG PROJETO: EV/CD-09/10
01 unidade evaporadora do tipo Hi Wall mod:42MKCA12M5 ;
01 unidade condensadora mod:38MKCA12M5;
Ref.: Midea ou equivalente técnico
Fornecimento e instalação</t>
  </si>
  <si>
    <t>Conjunto split com capacidade de 22000 BTU/h, composto por:
TAG PROJETO: EV/CD-11
01 unidade evaporadora do tipo Hi Wall mod:42MKCA22M5;
01 unidade condensadora mod:38MKCA22M5 ;
Ref.: Midea ou equivalente técnico
Fornecimento e instalação</t>
  </si>
  <si>
    <t>Ventilador para suprimento de ar externo mod.  TD 1300/250 SILENT
TAG PROJETO:  VI-01/02/03/04
Vazão de ar de 1000m³/h;
Pressão Estática total de 23,00mmCa;
Motor de 0,25kVA;
Ref. Soler &amp; Palau ou equivalente técnico
Fornecimento e instalação</t>
  </si>
  <si>
    <t>Ventilador para suprimento de ar externo mod.  TD 350/125 SILENT
TAG PROJETO:  VI-06
Vazão de ar de 100m³/h;
Pressão Estática total de 18,00mmCa;
Motor de 0,05kVA;
Ref. Soler &amp; Palau ou equivalente técnico
Fornecimento e instalação</t>
  </si>
  <si>
    <t>Ventilador para suprimento de ar externo mod.  TD 1300/250 SILENT
TAG PROJETO:  VI-07/08
Vazão de ar de 800m³/h;
Pressão Estática total de 23,00mmCa;
Motor de 0,25kVA;
Ref. Soler &amp; Palau ou equivalente técnico
Fornecimento e instalação</t>
  </si>
  <si>
    <t>Conjunto split com capacidade de 9000 BTU/h, composto por:
TAG PROJETO: EV/CD-11
Equipamento existente
Instalação</t>
  </si>
  <si>
    <t>Conjunto split com capacidade de 22000 BTU/h, composto por:
TAG PROJETO: EV/CD-09/26/27/28/29/36/37/38/39/40/41
01 unidade evaporadora do tipo Hi Wall mod:42MKCA22M5;
01 unidade condensadora mod:38MKCA22M5 ;
Ref.: Midea ou equivalente técnico
Fornecimento e instalação</t>
  </si>
  <si>
    <t>Conjunto split com capacidade de 30000 BTU/h, composto por:
TAG PROJETO: EV/CD-08/24/25/30/31/32/33/42/43
01 unidade evaporadora do tipo Hi Wall mod:SHFI-30000-2;
01 unidade condensadora mod:SHFE-30000-2;
Ref.: Elgin ou equivalente técnico
Fornecimento e instalação</t>
  </si>
  <si>
    <t>Ventilador para suprimento de ar externo mod.  TD 1300/250 SILENT
TAG PROJETO:  VI-01/02/06/07/08/09/10/11/12/13/14/15/16/17/18/
19/20/21
Vazão de ar de 800m³/h;
Pressão Estática total de 23,00mmCa;
Motor de 0,25kVA;
Ref. Soler &amp; Palau ou equivalente técnico
Fornecimento e instalação</t>
  </si>
  <si>
    <t>Ventilador para suprimento de ar externo mod.  TD 500/150 SILENT
TAG PROJETO:  VI-03/04
Vazão de ar de 200m³/h;
Pressão Estática total de 18,00mmCa;
Motor de 0,10kVA;
Ref. Soler &amp; Palau ou equivalente técnico
Fornecimento e instalação</t>
  </si>
  <si>
    <t>Ventilador para suprimento de ar externo mod.  TD 350/125 SILENT
TAG PROJETO:  VI-05
Vazão de ar de 100m³/h;
Pressão Estática total de 18,00mmCa;
Motor de 0,05kVA;
Ref. Soler &amp; Palau ou equivalente técnico
Fornecimento e instalação</t>
  </si>
  <si>
    <t>Conjunto split com capacidade de 22000 BTU/h, composto por:
TAG PROJETO: EV/CD-01/02
01 unidade evaporadora do tipo Hi Wall mod:42MKCA22M5;
01 unidade condensadora mod:38MKCA22M5 ;
Ref.: Midea ou equivalente técnico
Fornecimento e instalação</t>
  </si>
  <si>
    <t>Conjunto split com capacidade de 30000 BTU/h, composto por:
TAG PROJETO: EV/CD-03/04/05/06/07/08/09/10/11/12
01 unidade evaporadora do tipo Hi Wall mod:SHFI-30000-2;
01 unidade condensadora mod:SHFE-30000-2;
Ref.: Elgin ou equivalente técnico
Fornecimento e instalação</t>
  </si>
  <si>
    <t>Conjunto split com capacidade de 12000 BTU/h, composto por:
TAG PROJETO: EV/CD-13/14/15
01 unidade evaporadora do tipo Hi Wall mod:42MKCA12M5 ;
01 unidade condensadora mod:38MKCA12M5;
Ref.: Midea ou equivalente técnico
Fornecimento e instalação</t>
  </si>
  <si>
    <t>Ventilador para suprimento de ar externo mod.  TD 1300/250 SILENT
TAG PROJETO:  VI-01/02/03/04/05/06
Vazão de ar de 800m³/h;
Pressão Estática total de 23,00mmCa;
Motor de 0,25kVA;
Ref. Soler &amp; Palau ou equivalente técnico
Fornecimento e instalação</t>
  </si>
  <si>
    <t>Ventilador para suprimento de ar externo mod.  TD 350/125 SILENT
TAG PROJETO:  VI-07/08/09
Vazão de ar de 100m³/h;
Pressão Estática total de 18,00mmCa;
Motor de 0,05kVA;
Ref. Soler &amp; Palau ou equivalente técnico
Fornecimento e instalação</t>
  </si>
  <si>
    <t>Conjunto split com capacidade de 12000 BTU/h, composto por:
TAG PROJETO: EV/CD-01/02/11/12
01 unidade evaporadora do tipo Hi Wall mod:42MKCA12M5 ;
01 unidade condensadora mod:38MKCA12M5;
Ref.: Midea ou equivalente técnico
Fornecimento e instalação</t>
  </si>
  <si>
    <t>Conjunto split com capacidade de 22000 BTU/h, composto por:
TAG PROJETO: EV/CD-03/04
01 unidade evaporadora do tipo Hi Wall mod:42MKCA22M5;
01 unidade condensadora mod:38MKCA22M5 ;
Ref.: Midea ou equivalente técnico
Fornecimento e instalação</t>
  </si>
  <si>
    <t>Conjunto split com capacidade de 30000 BTU/h, composto por:
TAG PROJETO: EV/CD-05/06/07/08/09/10/15/16/17/18
01 unidade evaporadora do tipo Hi Wall mod:SHFI-30000-2;
01 unidade condensadora mod:SHFE-30000-2;
Ref.: Elgin ou equivalente técnico
Fornecimento e instalação</t>
  </si>
  <si>
    <t>Conjunto split com capacidade de 18000 BTU/h, composto por:
TAG PROJETO: EV/CD-13/14
01 unidade evaporadora do tipo Hi Wall mod:42MACA18S5;
01 unidade condensadora mod:38KCX18S5;
Ref.: Midea ou equivalente técnico
Fornecimento e instalação</t>
  </si>
  <si>
    <t>Ventilador para suprimento de ar externo mod.  TD 500/150 SILENT
TAG PROJETO:  VI-01/07
Vazão de ar de 200m³/h;
Pressão Estática total de 18,00mmCa;
Motor de 0,10kVA;
Ref. Soler &amp; Palau ou equivalente técnico
Fornecimento e instalação</t>
  </si>
  <si>
    <t>Ventilador para suprimento de ar externo mod.  TD 1300/250 SILENT
TAG PROJETO:  VI-02/03/04/05/07/08/09
Vazão de ar de 800m³/h;
Pressão Estática total de 23,00mmCa;
Motor de 0,25kVA;
Ref. Soler &amp; Palau ou equivalente técnico
Fornecimento e instalação</t>
  </si>
  <si>
    <t>Conjunto split com capacidade de 30000 BTU/h, composto por:
TAG PROJETO: EV/CD-01/02/03/04/05/06/07/08/15/16
01 unidade evaporadora do tipo Hi Wall mod:SHFI-30000-2;
01 unidade condensadora mod:SHFE-30000-2;
Ref.: Elgin ou equivalente técnico
Fornecimento e instalação</t>
  </si>
  <si>
    <t>Conjunto split com capacidade de 9000 BTU/h, composto por:
TAG PROJETO: EV/CD-10/11/12
01 unidade evaporadora do tipo Hi Wall mod:42MKCA09M5 ;
01 unidade condensadora mod:38MKCA09M5;
Ref.: Midea ou equivalente técnico
Fornecimento e instalação</t>
  </si>
  <si>
    <t>Conjunto split com capacidade de 22000 BTU/h, composto por:
TAG PROJETO: EV/CD-09/13/14/20
01 unidade evaporadora do tipo Hi Wall mod:42MKCA22M5;
01 unidade condensadora mod:38MKCA22M5 ;
Ref.: Midea ou equivalente técnico
Fornecimento e instalação</t>
  </si>
  <si>
    <t>Conjunto split com capacidade de 12000 BTU/h, composto por:
TAG PROJETO: EV/CD-17/18
01 unidade evaporadora do tipo Hi Wall mod:42MKCA12M5 ;
01 unidade condensadora mod:38MKCA12M5;
Ref.: Midea ou equivalente técnico
Fornecimento e instalação</t>
  </si>
  <si>
    <t>Conjunto split com capacidade de 18000 BTU/h, composto por:
TAG PROJETO: EV/CD-19
01 unidade evaporadora do tipo Hi Wall mod:42MACA18S5;
01 unidade condensadora mod:38KCX18S5 ;
Ref.: Midea ou equivalente técnico
Fornecimento e instalação</t>
  </si>
  <si>
    <t>Ventilador para suprimento de ar externo mod.  TD 1300/250 SILENT
TAG PROJETO:  VI-01/02/03/04/07/08/11
Vazão de ar de 800m³/h;
Pressão Estática total de 23,00mmCa;
Motor de 0,25kVA;
Ref. Soler &amp; Palau ou equivalente técnico
Fornecimento e instalação</t>
  </si>
  <si>
    <t>Ventilador para suprimento de ar externo mod.  TD 350/125 SILENT
TAG PROJETO:  VI-06/10
Vazão de ar de 100m³/h;
Pressão Estática total de 18,00mmCa;
Motor de 0,05kVA;
Ref. Soler &amp; Palau ou equivalente técnico
Fornecimento e instalação</t>
  </si>
  <si>
    <t>Ventilador para suprimento de ar externo mod.  TD 500/150 SILENT
TAG PROJETO:  VI-09/05
Vazão de ar de 200m³/h;
Pressão Estática total de 18,00mmCa;
Motor de 0,10kVA;
Ref. Soler &amp; Palau ou equivalente técnico
Fornecimento e instalação</t>
  </si>
  <si>
    <t>Conjunto split com capacidade de 30000 BTU/h, composto por:
TAG PROJETO: EV/CD-01/02/03/04/05/06
Equipamento existente
Instalação</t>
  </si>
  <si>
    <t>Conjunto split com capacidade de 30000 BTU/h, composto por:
TAG PROJETO: EV/CD-07/08/11/12
01 unidade evaporadora do tipo Hi Wall mod:SHFI-30000-2;
01 unidade condensadora mod:SHFE-30000-2;
Ref.: Elgin ou equivalente técnico
Fornecimento e instalação</t>
  </si>
  <si>
    <t>Conjunto split com capacidade de 48000 BTU/h, composto por:
TAG PROJETO: EV/CD-09/10/13/14
01 unidade evaporadora do tipo piso teto mod:PHFI 48.000-2 ;
01 unidade condensadora mod:PHFE 48.000-2;
Ref.: Elgin ou equivalente técnico
Fornecimento e instalação</t>
  </si>
  <si>
    <t>Conjunto split com capacidade de 22000 BTU/h, composto por:
TAG PROJETO: EV/CD-15/16/17
01 unidade evaporadora do tipo Hi Wall mod:42MKCA22M5;
01 unidade condensadora mod:38MKCA22M5 ;
Ref.: Midea ou equivalente técnico
Fornecimento e instalação</t>
  </si>
  <si>
    <t>Conjunto split com capacidade de 18000 BTU/h, composto por:
TAG PROJETO: EV/CD-18/19/20/21
01 unidade evaporadora do tipo Hi Wall mod:42MACA18S5;
01 unidade condensadora mod:38KCX18S5 ;
Ref.: Midea ou equivalente técnico
Fornecimento e instalação</t>
  </si>
  <si>
    <t>Conjunto split com capacidade de 12000 BTU/h, composto por:
TAG PROJETO: EV/CD-2/23
Equipamento existente
Instalação</t>
  </si>
  <si>
    <t>Ventilador para suprimento de ar externo mod.  TD 1300/250 SILENT
TAG PROJETO:  VI-01/02/03/04/06/10/11
Vazão de ar de 800m³/h;
Pressão Estática total de 23,00mmCa;
Motor de 0,25kVA;
Ref. Soler &amp; Palau ou equivalente técnico
Fornecimento e instalação</t>
  </si>
  <si>
    <t>Ventilador para suprimento de ar externo mod.  TD 1300/250 SILENT
TAG PROJETO:  VI-05/07
Vazão de ar de 1000m³/h;
Pressão Estática total de 23,00mmCa;
Motor de 0,25kVA;
Ref. Soler &amp; Palau ou equivalente técnico
Fornecimento e instalação</t>
  </si>
  <si>
    <t>Ventilador para suprimento de ar externo mod.  TD 350/125 SILENT
TAG PROJETO:  VI-08/12
Vazão de ar de 100m³/h;
Pressão Estática total de 18,00mmCa;
Motor de 0,05kVA;
Ref. Soler &amp; Palau ou equivalente técnico
Fornecimento e instalação</t>
  </si>
  <si>
    <t>Ventilador para suprimento de ar externo mod.  TD 500/150 SILENT
TAG PROJETO:  VI-09/13
Vazão de ar de 200m³/h;
Pressão Estática total de 18,00mmCa;
Motor de 0,10kVA;
Ref. Soler &amp; Palau ou equivalente técnico
Fornecimento e instalação</t>
  </si>
  <si>
    <t>Conjunto split com capacidade de 30000 BTU/h, composto por:
TAG PROJETO: EV/CD-01/02/03/04/05/06/09/10/11/17/18/19/20/21/22/
24/25/26/27/28/29/30/31/32/33/34/35/36
01 unidade evaporadora do tipo Hi Wall mod:SHFI-30000-2;
01 unidade condensadora mod:SHFE-30000-2;
Ref.: Elgin ou equivalente técnico
Fornecimento e instalação</t>
  </si>
  <si>
    <t>Conjunto split com capacidade de 36000 BTU/h, composto por:
TAG PROJETO: EV/CD-07/08
01 unidade evaporadora do tipo piso teto mod:PHFI 36.000-2;
01 unidade condensadora mod:PHFE 36.000-2;
Ref.: Elgin ou equivalente técnico
Fornecimento e instalação</t>
  </si>
  <si>
    <t>Conjunto split com capacidade de 18000 BTU/h, composto por:
TAG PROJETO: EV/CD-12
01 unidade evaporadora do tipo Hi Wall mod:42MACA18S5;
01 unidade condensadora mod:38KCX18S5 ;
Ref.: Midea ou equivalente técnico
Fornecimento e instalação</t>
  </si>
  <si>
    <t>Conjunto split com capacidade de 9000 BTU/h, composto por:
TAG PROJETO: EV/CD-13/14
01 unidade evaporadora do tipo Hi Wall mod:42MKCA09M5;
01 unidade condensadora mod:38MKCA09M5;
Ref.: Midea ou equivalente técnico
Fornecimento e instalação</t>
  </si>
  <si>
    <t>Conjunto split com capacidade de 22000 BTU/h, composto por:
TAG PROJETO: EV/CD-15/16/23
01 unidade evaporadora do tipo Hi Wall mod:42MKCA22M5;
01 unidade condensadora mod:38MKCA22M5 ;
Ref.: Midea ou equivalente técnico
Fornecimento e instalação</t>
  </si>
  <si>
    <t>Ventilador para suprimento de ar externo mod.  TD 1300/250 SILENT
TAG PROJETO:  VI-01/02/03/04/05/10/11/12/14/15/16/17/18/19/20
Vazão de ar de 800m³/h;
Pressão Estática total de 23,00mmCa;
Motor de 0,25kVA;
Ref. Soler &amp; Palau ou equivalente técnico
Fornecimento e instalação</t>
  </si>
  <si>
    <t>Ventilador para suprimento de ar externo mod.  TD 350/125 SILENT
TAG PROJETO:  VI-06/07/08
Vazão de ar de 100m³/h;
Pressão Estática total de 18,00mmCa;
Motor de 0,05kVA;
Ref. Soler &amp; Palau ou equivalente técnico
Fornecimento e instalação</t>
  </si>
  <si>
    <t>Conjunto split com capacidade de22000 BTU/h, composto por:
TAG PROJETO: EV/CD-01/02/05/06
01 unidade evaporadora do tipo Hi Wall mod:42MKCA22M5;
01 unidade condensadora mod:38MKCA22M5 ;
Ref.: Midea ou equivalente técnico
Fornecimento e instalação</t>
  </si>
  <si>
    <t>Conjunto split com capacidade de12000 BTU/h, composto por:
TAG PROJETO: EV/CD-17/18/19/30
01 unidade evaporadora do tipo Hi Wall mod:42MKCA12M5 ;
01 unidade condensadora mod:38MKCA12M5;
Ref.: Midea ou equivalente técnico
Fornecimento e instalação</t>
  </si>
  <si>
    <t>Conjunto split com capacidade de 30000 BTU/h, composto por:
TAG PROJETO: EV/CD-03/04/07/08/09/10/11/12/13/
14/15/16/20/21/22/23/24/25/26/27/28/29
01 unidade evaporadora do tipo Hi Wall mod:SHFI-30000-2;
01 unidade condensadora mod:SHFE-30000-2;
Ref.: Elgin ou equivalente técnico
Fornecimento e instalação</t>
  </si>
  <si>
    <t>Ventilador para suprimento de ar externo mod.  TD 1300/250 SILENT
TAG PROJETO:  VI-01/02/05/06/07/08/09/13/14/15/16/17
Vazão de ar de 800m³/h;
Pressão Estática total de 23,00mmCa;
Motor de 0,25kVA;
Ref. Soler &amp; Palau ou equivalente técnico
Fornecimento e instalação</t>
  </si>
  <si>
    <t>Ventilador para suprimento de ar externo mod.  TD 500/150 SILENT
TAG PROJETO:  VI-03/04/10
Vazão de ar de 200m³/h;
Pressão Estática total de 18,00mmCa;
Motor de 0,10kVA;
Ref. Soler &amp; Palau ou equivalente técnico
Fornecimento e instalação</t>
  </si>
  <si>
    <t>Ventilador para suprimento de ar externo mod.  TD 350/125 SILENT
TAG PROJETO:  VI-11/12
Vazão de ar de 100m³/h;
Pressão Estática total de 18,00mmCa;
Motor de 0,05kVA;
Ref. Soler &amp; Palau ou equivalente técnico
Fornecimento e instalação</t>
  </si>
  <si>
    <t>Conjunto split com capacidade de 30000 BTU/h, composto por:
TAG PROJETO: EV/CD-01/02/03/04/05/06/07/08/09/10/11/12/13/14/15/
18/19/20/21/22/23/28/29/30/31/32/33/34
01 unidade evaporadora do tipo Hi Wall mod:SHFI-30000-2;
01 unidade condensadora mod:SHFE-30000-2;
Ref.: Elgin ou equivalente técnico
Fornecimento e instalação</t>
  </si>
  <si>
    <t>Conjunto split com capacidade de 22000 BTU/h, composto por:
TAG PROJETO: EV/CD-16/17
01 unidade evaporadora do tipo Hi Wall mod:42MKCA22M5;
01 unidade condensadora mod:38MKCA22M5 ;
Ref.: Midea ou equivalente técnico
Fornecimento e instalação</t>
  </si>
  <si>
    <t>Conjunto split com capacidade de 12000 BTU/h, composto por:
TAG PROJETO: EV/CD-24/25/26/27/35/36/37/38/39
01 unidade evaporadora do tipo Hi Wall mod:42MKCA12M5 ;
01 unidade condensadora mod:38MKCA12M5;
Ref.: Midea ou equivalente técnico
Fornecimento e instalação</t>
  </si>
  <si>
    <t>Ventilador para suprimento de ar externo mod.  TD 1300/250 SILENT
TAG PROJETO:  VI-01/02/03/04/06/07/08/09/10/11/12/13/14/15/17/18
Vazão de ar de 800m³/h;
Pressão Estática total de 23,00mmCa;
Motor de 0,25kVA;
Ref. Soler &amp; Palau ou equivalente técnico
Fornecimento e instalação</t>
  </si>
  <si>
    <t>Ventilador para suprimento de ar externo mod.  TD 350/125 SILENT
TAG PROJETO:  VI-05/16/19/20/21
Vazão de ar de 100m³/h;
Pressão Estática total de 18,00mmCa;
Motor de 0,05kVA;
Ref. Soler &amp; Palau ou equivalente técnico
Fornecimento e instalação</t>
  </si>
  <si>
    <t>Ventilador para suprimento de ar externo mod.  TD 500/150 SILENT
TAG PROJETO:  VI-22
Vazão de ar de 200m³/h;
Pressão Estática total de 18,00mmCa;
Motor de 0,10kVA;
Ref. Soler &amp; Palau ou equivalente técnico
Fornecimento e instalação</t>
  </si>
  <si>
    <t>Conjunto split com capacidade de12000 BTU/h, composto por:
TAG PROJETO: EV-01/09/10
01 unidade evaporadora do tipo Hi Wall mod:42MKCA12M5 ;
01 unidade condensadora mod:38MKCA12M5;
Ref.: Midea ou equivalente técnico
Fornecimento e instalação</t>
  </si>
  <si>
    <t>Conjunto split com capacidade de 22000 BTU/h, composto por:
TAG PROJETO: EV/CD-02/03/04/05/06/07/08/17/18/19/20
01 unidade evaporadora do tipo Hi Wall mod:42MKCA22M5;
01 unidade condensadora mod:38MKCA22M5;
Ref.: Midea ou equivalente técnico
Fornecimento e instalação</t>
  </si>
  <si>
    <t>Conjunto split com capacidade de 30000 BTU/h, composto por:
TAG PROJETO: EV/CD-11/12/13/14/15/16
01 unidade evaporadora do tipo Hi Wall mod:SHFI-30000-2;
01 unidade condensadora mod:SHFE-30000-2;
Ref.: Elgin ou equivalente técnico
Fornecimento e instalação</t>
  </si>
  <si>
    <t>Ventilador para suprimento de ar externo mod.  TD 350/125 SILENT
TAG PROJETO:  VI-01/03
Vazão de ar de 100m³/h;
Pressão Estática total de 18,00mmCa;
Motor de 0,05kVA;
Ref. Soler &amp; Palau ou equivalente técnico
Fornecimento e instalação</t>
  </si>
  <si>
    <t>Ventilador para suprimento de ar externo mod.  TD 500/150 SILENT
TAG PROJETO:  VI-02
Vazão de ar de 200m³/h;
Pressão Estática total de 18,00mmCa;
Motor de 0,10kVA;
Ref. Soler &amp; Palau ou equivalente técnico
Fornecimento e instalação</t>
  </si>
  <si>
    <t>Ventilador para suprimento de ar externo mod.  TD 1300/250 SILENT
TAG PROJETO:  VI-04/06/07/08/09/10
Vazão de ar de 800m³/h;
Pressão Estática total de 23,00mmCa;
Motor de 0,25kVA;
Ref. Soler &amp; Palau ou equivalente técnico
Fornecimento e instalação</t>
  </si>
  <si>
    <t>Ventilador para suprimento de ar externo mod.  TD 500/150 SILENT
TAG PROJETO:  VI-05
Vazão de ar de 400m³/h;
Pressão Estática total de 18,00mmCa;
Motor de 0,10kVA;
Ref. Soler &amp; Palau ou equivalente técnico
Fornecimento e instalação</t>
  </si>
  <si>
    <t>Conjunto split com capacidade de 12000 BTU/h, composto por:
TAG PROJETO: EV/CD-13/14/15/16
01 unidade evaporadora do tipo Hi Wall mod:42MKCA12M5 ;
01 unidade condensadora mod:38MKCA12M5;
Ref.: Midea ou equivalente técnico
Fornecimento e instalação</t>
  </si>
  <si>
    <t>Conjunto split com capacidade de 30000 BTU/h, composto por:
TAG PROJETO: EV/CD-01/02/03/04/05/06/07/08/27/28
01 unidade evaporadora do tipo Hi Wall mod:SHFI-30000-2;
01 unidade condensadora mod:SHFE-30000-2;
Ref.: Elgin ou equivalente técnico
Fornecimento e instalação</t>
  </si>
  <si>
    <t>Conjunto split com capacidade de 36000 BTU/h, composto por:
TAG PROJETO: EV/CD-09/10/11/12/13/14/15/16/17/18/
19/20/21/22/25/26
01 unidade evaporadora do tipo Piso Teto mod:PHFI 36.000-2;
01 unidade condensadora mod:PHFE 36.000-2;
Ref.: Elgin ou equivalente técnico
Fornecimento e instalação</t>
  </si>
  <si>
    <t>Conjunto split com capacidade de 48000 BTU/h, composto por:
TAG PROJETO: EV/CD-23/24
01 unidade evaporadora do tipo Piso Teto mod:PHFI 48.000-2;
01 unidade condensadora mod:PHFE 48.000-2;
Ref.: Elgin ou equivalente técnico
Fornecimento e instalação</t>
  </si>
  <si>
    <t>Conjunto split com capacidade de12000 BTU/h, composto por:
TAG PROJETO: EV-29/30/31/32
01 unidade evaporadora do tipo Hi Wall mod:42MKCA12M5 ;
01 unidade condensadora mod:38MKCA12M5;
Ref.: Midea ou equivalente técnico
Fornecimento e instalação</t>
  </si>
  <si>
    <t>Ventilador para suprimento de ar externo mod.  TD 1300/250 SILENT
TAG PROJETO:  VI-01/02/03/04/11/13/17
Vazão de ar de 800m³/h;
Pressão Estática total de 23,00mmCa;
Motor de 0,25kVA;
Ref. Soler &amp; Palau ou equivalente técnico
Fornecimento e instalação</t>
  </si>
  <si>
    <t>Ventilador para suprimento de ar externo mod.  TD 1300/250 SILENT
TAG PROJETO:  VI-05/06/07/08/09/10/12
Vazão de ar de 1000m³/h;
Pressão Estática total de 23,00mmCa;
Motor de 0,25kVA;
Ref. Soler &amp; Palau ou equivalente técnico
Fornecimento e instalação</t>
  </si>
  <si>
    <t>Ventilador para suprimento de ar externo mod.  TD 350/125 SILENT
TAG PROJETO:  VI-15/16
Vazão de ar de 100m³/h;
Pressão Estática total de 18,00mmCa;
Motor de 0,05kVA;
Ref. Soler &amp; Palau ou equivalente técnico
Fornecimento e instalação</t>
  </si>
  <si>
    <t>Ventilador para suprimento de ar externo mod.  TD 500/150 SILENT
TAG PROJETO:  VI-14
Vazão de ar de 200m³/h;
Pressão Estática total de 18,00mmCa;
Motor de 0,10kVA;
Ref. Soler &amp; Palau ou equivalente técnico
Fornecimento e instalação</t>
  </si>
  <si>
    <t>Conjunto split com capacidade de 22000 BTU/h, composto por:
TAG PROJETO: EV/CD-01/02/03/04/05/06/07/08/09/10/
11/12/15/16/17/18
01 unidade evaporadora do tipo Hi Wall mod:42MKCA22M5 ;
01 unidade condensadora mod:38MKCA22M5 ;
Ref.: Midea ou equivalente técnico
Fornecimento e instalação</t>
  </si>
  <si>
    <t>Conjunto split com capacidade de 18000 BTU/h, composto por:
TAG PROJETO: EV/CD-13/14
01 unidade evaporadora do tipo Hi Wall mod:42MKCB18M5  ;
01 unidade condensadora mod:38MKCB18M5 ;
Ref.: Midea ou equivalente técnico
Fornecimento e instalação</t>
  </si>
  <si>
    <t>Ventilador para suprimento de ar externo mod.  TD 1300/250 SILENT
TAG PROJETO:  VI-01/02/03/04/05/06/09/10
Vazão de ar de 800m³/h;
Pressão Estática total de 23,00mmCa;
Motor de 0,25kVA;
Ref. Soler &amp; Palau ou equivalente técnico
Fornecimento e instalação</t>
  </si>
  <si>
    <t>Ventilador para suprimento de ar externo mod.  TD 350/125 SILENT
TAG PROJETO:  VI-07/08
Vazão de ar de 100m³/h;
Pressão Estática total de 18,00mmCa;
Motor de 0,05kVA;
Ref. Soler &amp; Palau ou equivalente técnico
Fornecimento e instalação</t>
  </si>
  <si>
    <t>Conjunto split com capacidade de 12000 BTU/h, composto por:
TAG PROJETO: EV/CD-01/02/03
01 unidade evaporadora do tipo Hi Wall mod:42MKCA12M5 ;
01 unidade condensadora mod:38MKCA12M5;
Ref.: Midea ou equivalente técnico
Fornecimento e instalação</t>
  </si>
  <si>
    <t>Conjunto split com capacidade de 22000 BTU/h, composto por:
TAG PROJETO: EV/CD-04/05/14
01 unidade evaporadora do tipo Hi Wall mod:42MKCA22M5;
01 unidade condensadora mod:38MKCA22M5 ;
Ref.: Midea ou equivalente técnico
Fornecimento e instalação</t>
  </si>
  <si>
    <t>Conjunto split com capacidade de 30000 BTU/h, composto por:
TAG PROJETO: EV/CD-06/07/08/09/10/11/12/13
01 unidade evaporadora do tipo Hi Wall mod:SHFI-30000-2;
01 unidade condensadora mod:SHFE-30000-2;
Ref.: Elgin ou equivalente técnico
Fornecimento e instalação</t>
  </si>
  <si>
    <t>Ventilador para suprimento de ar externo mod.  TD 500/150 SILENT
TAG PROJETO:  VI-01/03
Vazão de ar de 200m³/h;
Pressão Estática total de 18,00mmCa;
Motor de 0,10kVA;
Ref. Soler &amp; Palau ou equivalente técnico
Fornecimento e instalação</t>
  </si>
  <si>
    <t>Ventilador para suprimento de ar externo mod.  TD 1300/250 SILENT
TAG PROJETO:  VI-04/05/06/07/08
Vazão de ar de 800m³/h;
Pressão Estática total de 23,00mmCa;
Motor de 0,25kVA;
Ref. Soler &amp; Palau ou equivalente técnico
Fornecimento e instalação</t>
  </si>
  <si>
    <t>Conjunto split com capacidade de22000 BTU/h, composto por:
TAG PROJETO: EV/CD-01/02
01 unidade evaporadora do tipo Hi Wall mod:42MKCA22M5;
01 unidade condensadora mod:38MKCA22M5 ;
Ref.: Midea ou equivalente técnico
Fornecimento e instalação</t>
  </si>
  <si>
    <t>Conjunto split com capacidade de12000 BTU/h, composto por:
TAG PROJETO: EV/CD-09/10/11/12
01 unidade evaporadora do tipo Hi Wall mod:42MKCA12M5 ;
01 unidade condensadora mod:38MKCA12M5;
Ref.: Midea ou equivalente técnico
Fornecimento e instalação</t>
  </si>
  <si>
    <t>Conjunto split com capacidade de 30000 BTU/h, composto por:
TAG PROJETO: EV/CD-03/04/05/06/07/08
01 unidade evaporadora do tipo Hi Wall mod:SHFI-30000-2;
01 unidade condensadora mod:SHFE-30000-2;
Ref.: Elgin ou equivalente técnico
Fornecimento e instalação</t>
  </si>
  <si>
    <t>Ventilador para suprimento de ar externo mod.  TD 1300/250 SILENT
TAG PROJETO:  VI-01/02/03/04
Vazão de ar de 800m³/h;
Pressão Estática total de 23,00mmCa;
Motor de 0,25kVA;
Ref. Soler &amp; Palau ou equivalente técnico
Fornecimento e instalação</t>
  </si>
  <si>
    <t>Ventilador para suprimento de ar externo mod.  TD 500/150 SILENT
TAG PROJETO:  VI-07
Vazão de ar de 200m³/h;
Pressão Estática total de 18,00mmCa;
Motor de 0,10kVA;
Ref. Soler &amp; Palau ou equivalente técnico
Fornecimento e instalação</t>
  </si>
  <si>
    <t>Conjunto split com capacidade de 12000 BTU/h, composto por:
TAG PROJETO: EV/CD-01/02/19/20/27/28
01 unidade evaporadora do tipo Hi Wall mod:42MKCA12M5 ;
01 unidade condensadora mod:38MKCA12M5;
Ref.: Midea ou equivalente técnico
Fornecimento e instalação</t>
  </si>
  <si>
    <t>Conjunto split com capacidade de 22000 BTU/h, composto por:
TAG PROJETO: EV/CD-03/04/05/06/07/08/31/32
01 unidade evaporadora do tipo Hi Wall mod:42MKCA22M5;
01 unidade condensadora mod:38MKCA22M5 ;
Ref.: Midea ou equivalente técnico
Fornecimento e instalação</t>
  </si>
  <si>
    <t>Conjunto split com capacidade de 30000 BTU/h, composto por:
TAG PROJETO: EV/CD-09/10/11/12/13/14/15/16/21/22/23/24
01 unidade evaporadora do tipo Hi Wall mod:SHFI-30000-2;
01 unidade condensadora mod:SHFE-30000-2;
Ref.: Elgin ou equivalente técnico
Fornecimento e instalação</t>
  </si>
  <si>
    <t>Conjunto split com capacidade de 18000 BTU/h, composto por:
TAG PROJETO: EV/CD-01/02
01 unidade evaporadora do tipo Hi Wall mod:42MACA18S5;
01 unidade condensadora mod:38KCX18S5;
Ref.: Midea ou equivalente técnico
Fornecimento e instalação</t>
  </si>
  <si>
    <t>Conjunto split com capacidade de 9000 BTU/h, composto por:
TAG PROJETO: EV/CD-01/02
01 unidade evaporadora do tipo Hi Wall mod:42MACA09S5;
01 unidade condensadora mod:38KCX09S5;
Ref.: Midea ou equivalente técnico
Fornecimento e instalação</t>
  </si>
  <si>
    <t>Conjunto split com capacidade de 9000 BTU/h, composto por:
TAG PROJETO: EV/CD-06
01 unidade evaporadora do tipo piso teto mod:42MACA09S5 ;
01 unidade condensadora mod:38KCX09S5;
Ref.: Midea ou equivalente técnico
Fornecimento e instalação</t>
  </si>
  <si>
    <t>Conjunto split com capacidade de 12000 BTU/h, composto por:
TAG PROJETO: EV/CD-04/05/29
01 unidade evaporadora do tipo piso teto mod:42MACA12S5 ;
01 unidade condensadora mod:38KCX12S5;
Ref.: Midea ou equivalente técnico
Fornecimento e instalação</t>
  </si>
  <si>
    <t>Conjunto split com capacidade de 30000 BTU/h, composto por:
TAG PROJETO:
EV/CD-01/10/12/14/16/22/23/24/25/26/27/28/30/31/32/33/34/35
01 unidade evaporadora do tipo piso teto mod:42MACA30S5;
01 unidade condensadora mod:38KCX30S5;
Ref.: Midea ou equivalente técnico
Fornecimento e instalação</t>
  </si>
  <si>
    <t>Conjunto split com capacidade de 48000 BTU/h, composto por:
TAG PROJETO: EV/CD-19/20
01 unidade evaporadora do tipo piso teto mod:42XQL48C5 ;
01 unidade condensadora mod:38CCL048535MC;
Ref.: Midea ou equivalente técnico
Fornecimento e instalação</t>
  </si>
  <si>
    <t>Conjunto split com capacidade de 12000 BTU/h, composto por:
TAG PROJETO: EV/CD-36
Equipamento existente
Instalação</t>
  </si>
  <si>
    <t>Conjunto split com capacidade de 24000 BTU/h, composto por:
TAG PROJETO: EV/CD-02/03/07/08/09/11/13/15/21
Equipamento existente
Instalação</t>
  </si>
  <si>
    <t>Conjunto split com capacidade de 30000 BTU/h, composto por:
TAG PROJETO: EV/CD-17/18
Equipamento existente
Instalação</t>
  </si>
  <si>
    <t>Ventilador para suprimento de ar externo mod.  TD 1300/250 SILENT
TAG PROJETO:  VI-01/02/03/04/05/06/07/08/09/10/11/12/14/15
Vazão de ar de 800m³/h;
Pressão Estática total de 23,00mmCa;
Motor de 0,25kVA;
Ref. Soler &amp; Palau ou equivalente técnico
Fornecimento e instalação</t>
  </si>
  <si>
    <t>Ventilador para suprimento de ar externo mod.  TD 800/200 SILENT
TAG PROJETO:  VI-13
Vazão de ar de 550m³/h;
Pressão Estática total de 23,00mmCa;
Motor de 0,15kVA;
Ref. Soler &amp; Palau ou equivalente técnico
Fornecimento e instalação</t>
  </si>
  <si>
    <t>Ventilador para suprimento de ar externo mod.  TD 350/125 SILENT
TAG PROJETO:  VI-16
Vazão de ar de 45m³/h;
Pressão Estática total de 18,00mmCa;
Motor de 0,05kVA;
Ref. Soler &amp; Palau ou equivalente técnico
Fornecimento e instalação</t>
  </si>
  <si>
    <t>UNIDADE</t>
  </si>
  <si>
    <t>QUANTIDADE</t>
  </si>
  <si>
    <t>SILVIA PEREIRA</t>
  </si>
  <si>
    <t>IZAURA ROQUE</t>
  </si>
  <si>
    <t>FERNANDA DA SILVA FONSECA</t>
  </si>
  <si>
    <t>Francisco Sales</t>
  </si>
  <si>
    <t>CAEC 01</t>
  </si>
  <si>
    <t>CAEC 02</t>
  </si>
  <si>
    <t>IZOLINA</t>
  </si>
  <si>
    <t>CORONEL FRANCISCO ORLANDO</t>
  </si>
  <si>
    <t>PROFESSORA ELAINE</t>
  </si>
  <si>
    <t>DR. ARLINDO MORADINI</t>
  </si>
  <si>
    <t>ENF. MARIA MAGDALENA</t>
  </si>
  <si>
    <t>ODETE LEITE</t>
  </si>
  <si>
    <t>VITORIA OLIVITO</t>
  </si>
  <si>
    <t>ALCINEIA GOLVEIA</t>
  </si>
  <si>
    <t>ARTHUR OLIVA</t>
  </si>
  <si>
    <t>IRMA</t>
  </si>
  <si>
    <t>MARIA LUCIA</t>
  </si>
  <si>
    <t>MAURICIO LEITE</t>
  </si>
  <si>
    <t>MENDONÇA</t>
  </si>
  <si>
    <t>BIMBO</t>
  </si>
  <si>
    <t>PEDRO BORDIGNON NETO II</t>
  </si>
  <si>
    <t>GARBIM</t>
  </si>
  <si>
    <t>PEDRO BORDIGNON</t>
  </si>
  <si>
    <t>IRACEMA MIELE</t>
  </si>
  <si>
    <t>ESCOLA</t>
  </si>
  <si>
    <t>MAPA DE QUANTITATIVO</t>
  </si>
  <si>
    <t>PREFEITURA MUNICIPAL DE ORLÂNDIA</t>
  </si>
  <si>
    <t>ORLÂNDIA - SP</t>
  </si>
  <si>
    <t>CLIMATIZAÇÃO ESCOLAS</t>
  </si>
  <si>
    <t>PRAÇA CORONEL ORLANDO, Nº 600 - CENTRO - ORLÂNDIA-SP</t>
  </si>
  <si>
    <t>COEFICIENTE</t>
  </si>
  <si>
    <t>M</t>
  </si>
  <si>
    <t>KG</t>
  </si>
  <si>
    <t>COMPOSICAO</t>
  </si>
  <si>
    <t>H</t>
  </si>
  <si>
    <t>3.2.1</t>
  </si>
  <si>
    <t>3.3.1</t>
  </si>
  <si>
    <t>3.3.2</t>
  </si>
  <si>
    <t>3.3.3</t>
  </si>
  <si>
    <t>3.3.4</t>
  </si>
  <si>
    <t>3.3.5</t>
  </si>
  <si>
    <t>UN</t>
  </si>
  <si>
    <t>4.1.1</t>
  </si>
  <si>
    <t>4.2.1</t>
  </si>
  <si>
    <t>4.3.1</t>
  </si>
  <si>
    <t>AUXILIAR DE ELETRICISTA COM ENCARGOS COMPLEMENTARES</t>
  </si>
  <si>
    <t>4.3.2</t>
  </si>
  <si>
    <t>ELETRICISTA COM ENCARGOS COMPLEMENTARES</t>
  </si>
  <si>
    <t>4.3.3</t>
  </si>
  <si>
    <t>4.4.1</t>
  </si>
  <si>
    <t>UNID</t>
  </si>
  <si>
    <t>5.1.1</t>
  </si>
  <si>
    <t>6.1.1</t>
  </si>
  <si>
    <t>ELETRICISTA</t>
  </si>
  <si>
    <t>7.1.1</t>
  </si>
  <si>
    <t>3</t>
  </si>
  <si>
    <t>MEMÓRIA DE CÁLCULO</t>
  </si>
  <si>
    <t>DESCRI. 1</t>
  </si>
  <si>
    <t>DESCR. 2</t>
  </si>
  <si>
    <t>DESCR. 3</t>
  </si>
  <si>
    <t>Adminstração local de obra</t>
  </si>
  <si>
    <t>Sub-Itens</t>
  </si>
  <si>
    <t>Profissional</t>
  </si>
  <si>
    <t>h</t>
  </si>
  <si>
    <t>Hora/Dia</t>
  </si>
  <si>
    <t>Dias úteis</t>
  </si>
  <si>
    <t>Meses</t>
  </si>
  <si>
    <t>Total (h)</t>
  </si>
  <si>
    <t>ENGENHEIRO ELETRICISTA</t>
  </si>
  <si>
    <t>3.0</t>
  </si>
  <si>
    <t>Serviços preliminares</t>
  </si>
  <si>
    <t>3.1</t>
  </si>
  <si>
    <t>Placas de obra</t>
  </si>
  <si>
    <t>m²</t>
  </si>
  <si>
    <t>Descrição</t>
  </si>
  <si>
    <t>Comp. (m)</t>
  </si>
  <si>
    <t>Largura (m)</t>
  </si>
  <si>
    <t>Área (m²)</t>
  </si>
  <si>
    <t>Placa de obra</t>
  </si>
  <si>
    <t xml:space="preserve">  </t>
  </si>
  <si>
    <t>3.2</t>
  </si>
  <si>
    <t>Mobilização e desmobilização</t>
  </si>
  <si>
    <t>unid</t>
  </si>
  <si>
    <t xml:space="preserve">Quant. </t>
  </si>
  <si>
    <t>Quant. Total</t>
  </si>
  <si>
    <t xml:space="preserve">Descrição </t>
  </si>
  <si>
    <t>Compr. (m)</t>
  </si>
  <si>
    <t>Largura  (m)</t>
  </si>
  <si>
    <t>6.0</t>
  </si>
  <si>
    <t>6.1</t>
  </si>
  <si>
    <t>CRONOGRAMA FÍSICO FINANCEIRO</t>
  </si>
  <si>
    <t>30 DIAS</t>
  </si>
  <si>
    <t>60 DIAS</t>
  </si>
  <si>
    <t>90 DIAS</t>
  </si>
  <si>
    <t>120 DIAS</t>
  </si>
  <si>
    <t>DESEMBOLSO</t>
  </si>
  <si>
    <t>VALOR</t>
  </si>
  <si>
    <t>2.0</t>
  </si>
  <si>
    <t>4.0</t>
  </si>
  <si>
    <t>ACUMULADOS</t>
  </si>
  <si>
    <t>ACUMULADO SIMPLES -----&gt;</t>
  </si>
  <si>
    <t>ACUMULADO TOTAL ------&gt;</t>
  </si>
  <si>
    <t>SERVIÇOS PRELIMINARES</t>
  </si>
  <si>
    <t>E.M.E.B.PROF. MARIA APARECIDA</t>
  </si>
  <si>
    <t>2.1</t>
  </si>
  <si>
    <t>2.2</t>
  </si>
  <si>
    <t>4.1</t>
  </si>
  <si>
    <t>4.2</t>
  </si>
  <si>
    <t>C.E.I IZAURA ROQUE</t>
  </si>
  <si>
    <t>C.E.I.FERNANDA DA SILVA FONSECA</t>
  </si>
  <si>
    <t>7.2.1</t>
  </si>
  <si>
    <t>8.0</t>
  </si>
  <si>
    <t>8.1</t>
  </si>
  <si>
    <t>8.1.1</t>
  </si>
  <si>
    <t>8.2</t>
  </si>
  <si>
    <t>8.2.1</t>
  </si>
  <si>
    <t>9.0</t>
  </si>
  <si>
    <t>10.0</t>
  </si>
  <si>
    <t>10.1</t>
  </si>
  <si>
    <t>10.1.1</t>
  </si>
  <si>
    <t>11.0</t>
  </si>
  <si>
    <t>11.1.1</t>
  </si>
  <si>
    <t>11.2.1</t>
  </si>
  <si>
    <t>12.0</t>
  </si>
  <si>
    <t>12.1</t>
  </si>
  <si>
    <t>E.M.E.B. DR.ARLINDO MORANDINI</t>
  </si>
  <si>
    <t>12.1.1</t>
  </si>
  <si>
    <t>E.M.E.B. ARTHUR OLIVA</t>
  </si>
  <si>
    <t>18.0</t>
  </si>
  <si>
    <t>18.1</t>
  </si>
  <si>
    <t>18.1.1</t>
  </si>
  <si>
    <t>18.2</t>
  </si>
  <si>
    <t>18.2.1</t>
  </si>
  <si>
    <t>20.0</t>
  </si>
  <si>
    <t>22.0</t>
  </si>
  <si>
    <t>22.1</t>
  </si>
  <si>
    <t>22.1.1</t>
  </si>
  <si>
    <t>22.2</t>
  </si>
  <si>
    <t>22.2.1</t>
  </si>
  <si>
    <t>E.M.E.B. PEDRO BORDIGNON NETO II</t>
  </si>
  <si>
    <t>23.0</t>
  </si>
  <si>
    <t>23.1</t>
  </si>
  <si>
    <t>23.1.1</t>
  </si>
  <si>
    <t>E.M.E.B. SANTO GARBIM</t>
  </si>
  <si>
    <t>AR CONDICIONADO</t>
  </si>
  <si>
    <t>INSTALAÇÕES ELÉTRICAS</t>
  </si>
  <si>
    <t>C.E.I. JOSÉ RIBEIRO DE MENDONÇA NETO</t>
  </si>
  <si>
    <t>E.M.E.B. IRMA DE MIRANDA MELLO</t>
  </si>
  <si>
    <t>E.M.E.B. MAURÍCIO LEITE DE MORAES</t>
  </si>
  <si>
    <t>Uni.</t>
  </si>
  <si>
    <t>C.E.I. IZOLINA ZANCOPÉ MUNARI</t>
  </si>
  <si>
    <t>E.M.E.B. PROFESSORA ALCINÉIA GOUVEIA DE FREITAS</t>
  </si>
  <si>
    <t>E.M.E.B. PAULO BIMBO GOMES</t>
  </si>
  <si>
    <t>E.M.E.B. PEDRO BORDIGNON NETO I</t>
  </si>
  <si>
    <t>C.E.I. FRANCISCO SALLES DE ABREU SAMPAIO</t>
  </si>
  <si>
    <t>E.M.E.B. MARIA LUCIA BERTI</t>
  </si>
  <si>
    <t>C.A.E.C. 2 - CENTRO DE ATIVIDADE EDUC COMPLEMENTAR 2</t>
  </si>
  <si>
    <t>C.A.E.C. 1 - CENTRO DE ATIVIDADE EDUC COMPLEMENTAR 1</t>
  </si>
  <si>
    <t>E.M.E.B. PROF. ELAINE MARIA ALVES SIQUEIRA</t>
  </si>
  <si>
    <t>E.M.E.B. PROFESSORA SYLVIA FERREIRA JORGE SCHAFFER</t>
  </si>
  <si>
    <t>M²</t>
  </si>
  <si>
    <t>3.3</t>
  </si>
  <si>
    <t>ISOLAMENTO DE OBRA COM TELA PLASTICA COM MALHA DE 5MM E ESTRUTURA DE MADEIRA PONTALETEADA</t>
  </si>
  <si>
    <t>3.4</t>
  </si>
  <si>
    <t>1.1.1</t>
  </si>
  <si>
    <t>2.3</t>
  </si>
  <si>
    <t>TOTAL ITEM 2.3 ---&gt;</t>
  </si>
  <si>
    <t>2.4</t>
  </si>
  <si>
    <t>2.4.1</t>
  </si>
  <si>
    <t>TOTAL GERAL PARA O ORÇAMENTO E.M.E.B.PROF. MARIA APARECIDA -----&gt;</t>
  </si>
  <si>
    <t>1.3</t>
  </si>
  <si>
    <t>1.3.1</t>
  </si>
  <si>
    <t>1.3.2</t>
  </si>
  <si>
    <t>1.3.3</t>
  </si>
  <si>
    <t>1.3.5</t>
  </si>
  <si>
    <t>1.4</t>
  </si>
  <si>
    <t>1.4.1</t>
  </si>
  <si>
    <t>TOTAL GERAL PARA O ORÇAMENTO ESCOLA IRACEMA MIELE -----&gt;</t>
  </si>
  <si>
    <t>3.4.1</t>
  </si>
  <si>
    <t>TOTAL ITEM 3.3 ---&gt;</t>
  </si>
  <si>
    <t>TOTAL ITEM 3.5---&gt;</t>
  </si>
  <si>
    <t>TOTAL ITEM 3.4 ---&gt;</t>
  </si>
  <si>
    <t>TOTAL GERAL PARA O ORÇAMENTO E.M.E.B. PROFESSORA SYLVIA FERREIRA JORGE SCHAFFER -----&gt;</t>
  </si>
  <si>
    <t>4.3</t>
  </si>
  <si>
    <t>TOTAL ITEM 4.1 ---&gt;</t>
  </si>
  <si>
    <t>TOTAL ITEM 4.2 ---&gt;</t>
  </si>
  <si>
    <t>4.3.4</t>
  </si>
  <si>
    <t>4.3.5</t>
  </si>
  <si>
    <t>TOTAL ITEM 4.3 ---&gt;</t>
  </si>
  <si>
    <t>4.4</t>
  </si>
  <si>
    <t>TOTAL GERAL PARA O ORÇAMENTO C.E.I IZAURA ROQUE -----&gt;</t>
  </si>
  <si>
    <t>TOTAL ITEM 4.4 ---&gt;</t>
  </si>
  <si>
    <t>TOTAL GERAL PARA O ORÇAMENTO C.E.I.FERNANDA DA SILVA FONSECA -----&gt;</t>
  </si>
  <si>
    <t>5.2</t>
  </si>
  <si>
    <t>5.2.1</t>
  </si>
  <si>
    <t>5.3</t>
  </si>
  <si>
    <t>5.3.1</t>
  </si>
  <si>
    <t>5.3.2</t>
  </si>
  <si>
    <t>5.3.3</t>
  </si>
  <si>
    <t>5.3.4</t>
  </si>
  <si>
    <t>5.3.5</t>
  </si>
  <si>
    <t>5.4</t>
  </si>
  <si>
    <t>5.4.1</t>
  </si>
  <si>
    <t>TOTAL ITEM 5.4 ---&gt;</t>
  </si>
  <si>
    <t>TOTAL ITEM 5.2 ---&gt;</t>
  </si>
  <si>
    <t>TOTAL ITEM 5.3 ---&gt;</t>
  </si>
  <si>
    <t>TOTAL ITEM 5.1 ---&gt;</t>
  </si>
  <si>
    <t>TOTAL GERAL PARA O ORÇAMENTO C.E.I. FRANCISCO SALLES DE ABREU SAMPAIO -----&gt;</t>
  </si>
  <si>
    <t>TOTAL ITEM 6.1 ---&gt;</t>
  </si>
  <si>
    <t>6.4</t>
  </si>
  <si>
    <t>6.4.1</t>
  </si>
  <si>
    <t>TOTAL ITEM 6.4 ---&gt;</t>
  </si>
  <si>
    <t>TOTAL GERAL PARA O ORÇAMENTO C.A.E.C. 1 - CENTRO DE ATIVIDADE EDUC COMPLEMENTAR 1 -----&gt;</t>
  </si>
  <si>
    <t>TOTAL ITEM 7.1 ---&gt;</t>
  </si>
  <si>
    <t>7.3.1</t>
  </si>
  <si>
    <t>7.3.2</t>
  </si>
  <si>
    <t>7.3.3</t>
  </si>
  <si>
    <t>7.3.4</t>
  </si>
  <si>
    <t>7.3.5</t>
  </si>
  <si>
    <t>TOTAL ITEM 7.3 ---&gt;</t>
  </si>
  <si>
    <t>7.4.1</t>
  </si>
  <si>
    <t>TOTAL ITEM 7.4 ---&gt;</t>
  </si>
  <si>
    <t>TOTAL GERAL PARA O ORÇAMENTO C.A.E.C. 2 - CENTRO DE ATIVIDADE EDUC COMPLEMENTAR 2 -----&gt;</t>
  </si>
  <si>
    <t>8.3</t>
  </si>
  <si>
    <t>8.3.1</t>
  </si>
  <si>
    <t>8.3.2</t>
  </si>
  <si>
    <t>8.3.3</t>
  </si>
  <si>
    <t>8.3.4</t>
  </si>
  <si>
    <t>8.3.5</t>
  </si>
  <si>
    <t>8.4</t>
  </si>
  <si>
    <t>TOTAL ITEM 8.3 ---&gt;</t>
  </si>
  <si>
    <t>TOTAL ITEM 8.2 ---&gt;</t>
  </si>
  <si>
    <t>TOTAL ITEM 8.1 ---&gt;</t>
  </si>
  <si>
    <t>TOTAL ITEM 8.4 ---&gt;</t>
  </si>
  <si>
    <t>8.4.1</t>
  </si>
  <si>
    <t>TOTAL GERAL PARA O ORÇAMENTO C.E.I. IZOLINA ZANCOPÉ MUNARI -----&gt;</t>
  </si>
  <si>
    <t>9.3</t>
  </si>
  <si>
    <t>9.3.1</t>
  </si>
  <si>
    <t>9.3.3</t>
  </si>
  <si>
    <t>TOTAL ITEM 9.3 ---&gt;</t>
  </si>
  <si>
    <t>9.4</t>
  </si>
  <si>
    <t>9.4.1</t>
  </si>
  <si>
    <t>TOTAL ITEM 9.4 ---&gt;</t>
  </si>
  <si>
    <t>10.2</t>
  </si>
  <si>
    <t>10.2.1</t>
  </si>
  <si>
    <t>TOTAL ITEM 10.1 ---&gt;</t>
  </si>
  <si>
    <t>TOTAL ITEM 10.2 ---&gt;</t>
  </si>
  <si>
    <t>10.3</t>
  </si>
  <si>
    <t>10.3.1</t>
  </si>
  <si>
    <t>10.3.2</t>
  </si>
  <si>
    <t>10.3.3</t>
  </si>
  <si>
    <t>10.3.4</t>
  </si>
  <si>
    <t>10.3.5</t>
  </si>
  <si>
    <t>10.4</t>
  </si>
  <si>
    <t>TOTAL ITEM 10.3 ---&gt;</t>
  </si>
  <si>
    <t>10.4.1</t>
  </si>
  <si>
    <t>TOTAL ITEM 10.4 ---&gt;</t>
  </si>
  <si>
    <t>TOTAL GERAL PARA O ORÇAMENTO E.M.E.B. PROF. ELAINE MARIA ALVES SIQUEIRA -----&gt;</t>
  </si>
  <si>
    <t>11.3.1</t>
  </si>
  <si>
    <t>11.3.2</t>
  </si>
  <si>
    <t>11.3.3</t>
  </si>
  <si>
    <t>11.3.4</t>
  </si>
  <si>
    <t>11.3.5</t>
  </si>
  <si>
    <t>TOTAL ITEM 11.1 ---&gt;</t>
  </si>
  <si>
    <t>TOTAL ITEM 11.2 ---&gt;</t>
  </si>
  <si>
    <t>TOTAL ITEM 11.3 ---&gt;</t>
  </si>
  <si>
    <t>11.4.1</t>
  </si>
  <si>
    <t>TOTAL ITEM 11.4 ---&gt;</t>
  </si>
  <si>
    <t>TOTAL GERAL PARA O ORÇAMENTO E.M.E.B. DR.ARLINDO MORANDINI -----&gt;</t>
  </si>
  <si>
    <t>LIMPEZA DE OBRA</t>
  </si>
  <si>
    <t>LIMPEZA FINAL DA OBRA</t>
  </si>
  <si>
    <t>TOTAL ITEM 3.6 ---&gt;</t>
  </si>
  <si>
    <t>TOTAL ITEM 12.1 ---&gt;</t>
  </si>
  <si>
    <t>TOTAL GERAL PARA O ORÇAMENTO E.M.E.B. ENFERMEIRA MARIA MAGDALENA BRASIL -----&gt;</t>
  </si>
  <si>
    <t>E.M.E.B. ENFERMEIRA MARIA MAGDALENA BRASIL</t>
  </si>
  <si>
    <t>TOTAL ITEM 14.4 ---&gt;</t>
  </si>
  <si>
    <t>TOTAL ITEM 14.3 ---&gt;</t>
  </si>
  <si>
    <t>C.E.I. ODETTE LEITE DE MORAES</t>
  </si>
  <si>
    <t>TOTAL GERAL PARA O ORÇAMENTO C.E.I. ODETTE LEITE DE MORAES -----&gt;</t>
  </si>
  <si>
    <t>TOTAL GERAL PARA O ORÇAMENTO E.M.E.B. VITÓRIA OLIVITO -----&gt;</t>
  </si>
  <si>
    <t>TOTAL GERAL PARA O ORÇAMENTO E.M.E.B. PROFESSORA ALCINÉIA GOUVEIA DE FREITAS -----&gt;</t>
  </si>
  <si>
    <t>TOTAL GERAL PARA O ORÇAMENTO E.M.E.B. ARTHUR OLIVA -----&gt;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</si>
  <si>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</si>
  <si>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</si>
  <si>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</si>
  <si>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</si>
  <si>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</si>
  <si>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</si>
  <si>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</si>
  <si>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</si>
  <si>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18.6.1</t>
  </si>
  <si>
    <t>TOTAL GERAL PARA O ORÇAMENTO E.M.E.B. IRMA DE MIRANDA MELLO -----&gt;</t>
  </si>
  <si>
    <t>TOTAL GERAL PARA O ORÇAMENTO E.M.E.B. MARIA LUCIA BERTI -----&gt;</t>
  </si>
  <si>
    <t>TOTAL GERAL PARA O ORÇAMENTO E.M.E.B. MAURÍCIO LEITE DE MORAES -----&gt;</t>
  </si>
  <si>
    <t>TOTAL ITEM 21.3 ---&gt;</t>
  </si>
  <si>
    <t>21.4.1</t>
  </si>
  <si>
    <t>TOTAL ITEM 21.4 ---&gt;</t>
  </si>
  <si>
    <t>TOTAL GERAL PARA O ORÇAMENTO C.E.I. JOSÉ RIBEIRO DE MENDONÇA NETO -----&gt;</t>
  </si>
  <si>
    <t>22.3</t>
  </si>
  <si>
    <t>22.3.1</t>
  </si>
  <si>
    <t>22.3.2</t>
  </si>
  <si>
    <t>22.3.3</t>
  </si>
  <si>
    <t>22.3.4</t>
  </si>
  <si>
    <t>22.3.5</t>
  </si>
  <si>
    <t>TOTAL ITEM 22.1 ---&gt;</t>
  </si>
  <si>
    <t>TOTAL ITEM 22.2 ---&gt;</t>
  </si>
  <si>
    <t>TOTAL ITEM 22.3 ---&gt;</t>
  </si>
  <si>
    <t>22.4</t>
  </si>
  <si>
    <t>22.4.1</t>
  </si>
  <si>
    <t>TOTAL ITEM 22.4 ---&gt;</t>
  </si>
  <si>
    <t>TOTAL GERAL PARA O ORÇAMENTO E.M.E.B. PAULO BIMBO GOMES -----&gt;</t>
  </si>
  <si>
    <t>TOTAL GERAL PARA O ORÇAMENTO E.M.E.B. PEDRO BORDIGNON NETO II -----&gt;</t>
  </si>
  <si>
    <t>24.6</t>
  </si>
  <si>
    <t>24.6.1</t>
  </si>
  <si>
    <t>TOTAL GERAL PARA O ORÇAMENTO E.M.E.B. SANTO GARBIM -----&gt;</t>
  </si>
  <si>
    <t>TOTAL GERAL PARA O ORÇAMENTO E.M.E.B. PEDRO BORDIGNON NETO I -----&gt;</t>
  </si>
  <si>
    <t>INTERLIGAÇÕES DO DRENO</t>
  </si>
  <si>
    <t>FORNECIMENTO E INSTALAÇAO DE PLACAS DE OBRA</t>
  </si>
  <si>
    <t>16.06.076</t>
  </si>
  <si>
    <t>1.3.1.1</t>
  </si>
  <si>
    <t>M³</t>
  </si>
  <si>
    <t>B.D.I</t>
  </si>
  <si>
    <t>CUSTO UNITÁRIO</t>
  </si>
  <si>
    <t>CUSTO REAL</t>
  </si>
  <si>
    <t>AJUDANTE ELETRICISTA</t>
  </si>
  <si>
    <t>1.01.15</t>
  </si>
  <si>
    <t>LIMPEZA DA OBRA</t>
  </si>
  <si>
    <t>16.11.005</t>
  </si>
  <si>
    <t>1.01.46</t>
  </si>
  <si>
    <t>SERVENTE</t>
  </si>
  <si>
    <t>COMPOSIÇÃO</t>
  </si>
  <si>
    <t>-</t>
  </si>
  <si>
    <t>TUBO DE COBRE FLEXIVEL, D = 1/4 ", E = 0,79 MM, PARA AR-CONDICIONADO/ INSTALACOES GAS RESIDENCIAIS E COMERCIAIS</t>
  </si>
  <si>
    <t>00039662</t>
  </si>
  <si>
    <t>TUBO DE COBRE FLEXIVEL, D = 1/2 ", E = 0,79 MM, PARA AR-CONDICIONADO/ INSTALACOES GAS RESIDENCIAIS E COMERCIAIS</t>
  </si>
  <si>
    <t>TUBO DE COBRE FLEXIVEL, D = 3/8 ", E = 0,79 MM, PARA AR-CONDICIONADO/ INSTALACOES GAS RESIDENCIAIS E COMERCIAIS</t>
  </si>
  <si>
    <t>00039664</t>
  </si>
  <si>
    <t>00039660</t>
  </si>
  <si>
    <t>TUBO DE ESPUMA DE POLIETILENO EXPANDIDO FLEXIVEL PARA ISOLAMENTO TERMICO DE TUBULACAO DE AR CONDICIONADO, AGUA QUENTE, DN 3/8", E= 10 MM</t>
  </si>
  <si>
    <t>00039716</t>
  </si>
  <si>
    <t>TUBO DE ESPUMA DE POLIETILENO EXPANDIDO FLEXIVEL PARA ISOLAMENTO TERMICO DE TUBULACAO DE AR CONDICIONADO, AGUA QUENTE, DN 1/2", E= 10 MM</t>
  </si>
  <si>
    <t>00039712</t>
  </si>
  <si>
    <t>00039713</t>
  </si>
  <si>
    <t>LEIS SOCIAIS</t>
  </si>
  <si>
    <t>RETIRADAS DE APARELHOS E EQUIPAMENTOS</t>
  </si>
  <si>
    <t>09.04.080</t>
  </si>
  <si>
    <t>88247</t>
  </si>
  <si>
    <t>88264</t>
  </si>
  <si>
    <t>09.82.095</t>
  </si>
  <si>
    <t>PERFILADO EM CHAPA DE ACO 38X38MM</t>
  </si>
  <si>
    <t xml:space="preserve">TERMINAÇÕES DE CONDUTORES DE COBRE FLEXÍVEIS E RÍGIDOS,50MM2. </t>
  </si>
  <si>
    <t xml:space="preserve">TERMINAÇÕES DE CONDUTORES DE COBRE FLEXÍVEIS E RÍGIDOS,25MM2. </t>
  </si>
  <si>
    <t xml:space="preserve">TERMINAÇÕES DE CONDUTORES DE COBRE FLEXÍVEIS E RÍGIDOS,95MM2. </t>
  </si>
  <si>
    <t>ELETRODUTO GALV.QUENTE D=100 CABINE PRIMARIA NBR 5598 BSP RIR (INCL.CONEX.E FIXAÇOES EM POSTE)</t>
  </si>
  <si>
    <t>16.45.003</t>
  </si>
  <si>
    <t>FORNECIMENTO E COLOCACAO DE CHUMBADORES EXPANSIVEIS D=3/8"</t>
  </si>
  <si>
    <t>CURVA PARA ELETRODUTO 90 FABRICADA COM TUBO DE ALUMÍNIO EXTRUDADO, TIPO PESADO SCHEDULE 40 SEM REBARBAS. FORNECIDA PROTETOR DE ROSCA BSP NAS EXTREMIDADES. Ø 4" (100MM)</t>
  </si>
  <si>
    <t>09.85.060</t>
  </si>
  <si>
    <t>09.85.064</t>
  </si>
  <si>
    <t>BUCHA DE REDUCAO EM ALUMINIO, COM ROSCA, DE 1" X 3/4", PARA ELETRODUTO</t>
  </si>
  <si>
    <t>00039185</t>
  </si>
  <si>
    <t>BUCHA DE REDUÇÃO PARA ELETRODUTO PARA CONEXÃO APARAFUSADA, TIPO PESADO, FABRICADA EM LIGA DE ALUMÍNIO SILÍCIO COM PARAFUSO EM AÇO BICROMATIZADO, ACOPLÁVEL EM CONDULETES Ø 25 (1") X 20 (3/4")</t>
  </si>
  <si>
    <t>2.67.77</t>
  </si>
  <si>
    <t>BUCHA TIPO S-8 (CENTO)</t>
  </si>
  <si>
    <t>BUCHA DE NYLON PARA FIXAÇÃO DE PARAFUSO ROSCA SOBERBA.NUMERO S8  (CENTO)</t>
  </si>
  <si>
    <t>CABO DE COBRE NU DE 50 MM2</t>
  </si>
  <si>
    <t>TUBULAÇÃO DE Ø 3/8"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t>
  </si>
  <si>
    <t>TUBULAÇÃO DE Ø 5/8"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t>
  </si>
  <si>
    <t>88243</t>
  </si>
  <si>
    <t>AJUDANTE ESPECIALIZADO COM ENCARGOS COMPLEMENTARES</t>
  </si>
  <si>
    <t>00034794</t>
  </si>
  <si>
    <t>MECANICO DE REFRIGERACAO</t>
  </si>
  <si>
    <t>TUBULAÇÃO DE Ø 7/8"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t>
  </si>
  <si>
    <t>TUBULAÇÃO DE  Ø 1/4"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MÍNIMO.</t>
  </si>
  <si>
    <t>TUBULAÇÃO DE Ø 1/2"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t>
  </si>
  <si>
    <t>REDE DE DUTOS EM CHAPA GALVANIZADA, ESPESSURA #26. INTERLIGAÇÃO POR MEIO DE CHAVETAS "S" OU BARRAS ESPECIAIS,  SEM ISOLAMENTO TÉRMICO. APOIOADA DIRETAMENTE NA ESTRUTURA POR MEIO DE PENDURAIS RESISTENTES E PINTADO COM TINTA PROTETORA ANTI-CORROSIVA.</t>
  </si>
  <si>
    <t>REDE DE DUTOS EM CHAPA GALVANIZADA, ESPESSURA #24. INTERLIGAÇÃO POR MEIO DE CHAVETAS "S" OU BARRAS ESPECIAIS,  SEM ISOLAMENTO TÉRMICO. APOIOADA DIRETAMENTE NA ESTRUTURA POR MEIO DE PENDURAIS RESISTENTES E PINTADO COM TINTA PROTETORA ANTI-CORROSIVA.</t>
  </si>
  <si>
    <t>CABO INSTRUMENTAÇÃO PARA SISTEMA SPLIT: CABO PP PVC/EB 105°C – 750 V DE 06 VIAS #2,5MM².</t>
  </si>
  <si>
    <t>01.02.001</t>
  </si>
  <si>
    <t>CORTE E ATERRO DENTRO DA OBRA COM TRANSPORTE INTERNO</t>
  </si>
  <si>
    <t>LASTRO DE CONCRETO - 5CM</t>
  </si>
  <si>
    <t>SERVICOS MÃO DE OBRA CIVIL</t>
  </si>
  <si>
    <t>01.07.010</t>
  </si>
  <si>
    <t>16.36.001</t>
  </si>
  <si>
    <t xml:space="preserve">REPAROS SUPERFICIAIS LOCALIZADOS </t>
  </si>
  <si>
    <t>CONDULETE DE 3/4" .OBS, TIPO LR</t>
  </si>
  <si>
    <t>CONDULETE DE 3/4". OBS, TIPO LL</t>
  </si>
  <si>
    <t>CONDULETE DE 3/4"OBS, TIPO T</t>
  </si>
  <si>
    <t>CONDULETE DE 1". OBS, TIPO T</t>
  </si>
  <si>
    <t>CABO DE COBRE FLEXÍVEL ISOLADO, 2,5 MM², ANTI-CHAMA 0,6/1,0 KV, PARA CIRCUITOS TERMINAIS - FORNECIMENTO E INSTALAÇÃO. AF_12/2015. OBS. (COR PRETA)</t>
  </si>
  <si>
    <t>CABO DE COBRE FLEXÍVEL ISOLADO, 2,5 MM², ANTI-CHAMA 0,6/1,0 KV, PARA CIRCUITOS TERMINAIS - FORNECIMENTO E INSTALAÇÃO. AF_12/2015. OBS. (COR BRANCA)</t>
  </si>
  <si>
    <t>CABO DE COBRE FLEXÍVEL ISOLADO, 2,5 MM², ANTI-CHAMA 0,6/1,0 KV, PARA CIRCUITOS TERMINAIS - FORNECIMENTO E INSTALAÇÃO. AF_12/2015. OBS( COR VERMELHA)</t>
  </si>
  <si>
    <t>CABO DE COBRE FLEXÍVEL ISOLADO, 2,5 MM², ANTI-CHAMA 0,6/1,0 KV, PARA CIRCUITOS TERMINAIS - FORNECIMENTO E INSTALAÇÃO. AF_12/2015. OBS. (COR VERDE)</t>
  </si>
  <si>
    <t>CABO DE COBRE FLEXÍVEL ISOLADO, 4 MM², ANTI-CHAMA 0,6/1,0 KV, PARA CIRCUITOS TERMINAIS - FORNECIMENTO E INSTALAÇÃO. AF_12/2015. OBS( COR PRETA)</t>
  </si>
  <si>
    <t>CABO DE COBRE FLEXÍVEL ISOLADO, 4 MM², ANTI-CHAMA 0,6/1,0 KV, PARA CIRCUITOS TERMINAIS - FORNECIMENTO E INSTALAÇÃO. AF_12/2015. OBS( COR BRANCA)</t>
  </si>
  <si>
    <t>CABO DE COBRE FLEXÍVEL ISOLADO, 4 MM², ANTI-CHAMA 0,6/1,0 KV, PARA CIRCUITOS TERMINAIS - FORNECIMENTO E INSTALAÇÃO. AF_12/2015. (OBS. COR VERDE)</t>
  </si>
  <si>
    <t>CABO DE COBRE FLEXÍVEL ISOLADO, 25 MM², ANTI-CHAMA 0,6/1,0 KV, PARA DISTRIBUIÇÃO - FORNECIMENTO E INSTALAÇÃO. AF_12/2015. OBS (COR VERDE)</t>
  </si>
  <si>
    <t>CABO DE COBRE FLEXÍVEL ISOLADO, 50 MM², ANTI-CHAMA 0,6/1,0 KV, PARA DISTRIBUIÇÃO - FORNECIMENTO E INSTALAÇÃO. AF_12/2015. (OBS=COR PRETA)</t>
  </si>
  <si>
    <t>CABO DE COBRE FLEXÍVEL ISOLADO, 50 MM², ANTI-CHAMA 0,6/1,0 KV, PARA DISTRIBUIÇÃO - FORNECIMENTO E INSTALAÇÃO. AF_12/2015. (OBS=COR BRANCA)</t>
  </si>
  <si>
    <t>CABO DE COBRE FLEXÍVEL ISOLADO, 50 MM², ANTI-CHAMA 0,6/1,0 KV, PARA DISTRIBUIÇÃO - FORNECIMENTO E INSTALAÇÃO. AF_12/2015. (OBS=COR VERMELHA)</t>
  </si>
  <si>
    <t>CABO DE COBRE FLEXÍVEL ISOLADO, 95 MM², ANTI-CHAMA 0,6/1,0 KV, PARA DISTRIBUIÇÃO - FORNECIMENTO E INSTALAÇÃO. AF_12/2015. (OBS=COR AZUL CLARO)</t>
  </si>
  <si>
    <t>CABO DE COBRE FLEXÍVEL ISOLADO, 95 MM², ANTI-CHAMA 0,6/1,0 KV, PARA DISTRIBUIÇÃO - FORNECIMENTO E INSTALAÇÃO. AF_12/2015. (OBS=COR VERDE)</t>
  </si>
  <si>
    <t>CABO DE COBRE FLEXÍVEL ISOLADO, 185 MM², ANTI-CHAMA 0,6/1,0 KV, PARA DISTRIBUIÇÃO - FORNECIMENTO E INSTALAÇÃO. AF_12/2015. (OBS= COR PRETA)</t>
  </si>
  <si>
    <t>CABO DE COBRE FLEXÍVEL ISOLADO, 185 MM², ANTI-CHAMA 0,6/1,0 KV, PARA DISTRIBUIÇÃO - FORNECIMENTO E INSTALAÇÃO. AF_12/2015. (OBS= COR BRANCA)</t>
  </si>
  <si>
    <t>CABO DE COBRE FLEXÍVEL ISOLADO, 185 MM², ANTI-CHAMA 0,6/1,0 KV, PARA DISTRIBUIÇÃO - FORNECIMENTO E INSTALAÇÃO. AF_12/2015. (OBS = COR VERMELHA)</t>
  </si>
  <si>
    <t>CABO DE COBRE FLEXÍVEL ISOLADO, 185 MM², ANTI-CHAMA 0,6/1,0 KV, PARA DISTRIBUIÇÃO - FORNECIMENTO E INSTALAÇÃO. AF_12/2015. (OBS= COR AZUL CLARO)</t>
  </si>
  <si>
    <t>CONDULETE DE 3/4"</t>
  </si>
  <si>
    <t>CONDULETE DE 1".</t>
  </si>
  <si>
    <t>1.1.2</t>
  </si>
  <si>
    <t>SERVENTE COM ENCARGOS COMPLEMENTARES</t>
  </si>
  <si>
    <t>1.3.2.1</t>
  </si>
  <si>
    <t>1.3.5.1</t>
  </si>
  <si>
    <t>4.1.2</t>
  </si>
  <si>
    <t>5.1.2</t>
  </si>
  <si>
    <t>6.1.2</t>
  </si>
  <si>
    <t>7.1.2</t>
  </si>
  <si>
    <t>8.1.2</t>
  </si>
  <si>
    <t>10.1.2</t>
  </si>
  <si>
    <t>11.1.2</t>
  </si>
  <si>
    <t>12.1.2</t>
  </si>
  <si>
    <t>18.1.2</t>
  </si>
  <si>
    <t>22.1.2</t>
  </si>
  <si>
    <t>23.1.2</t>
  </si>
  <si>
    <t>TUBULAÇÃO DE Ø 3/4"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t>
  </si>
  <si>
    <t>00039666</t>
  </si>
  <si>
    <t>TUBO DE COBRE FLEXIVEL, D = 3/4 ", E = 0,79 MM, PARA AR-CONDICIONADO/ INSTALACOES GAS RESIDENCIAIS E COMERCIAIS</t>
  </si>
  <si>
    <t>00039715</t>
  </si>
  <si>
    <t>TUBO DE ESPUMA DE POLIETILENO EXPANDIDO FLEXIVEL PARA ISOLAMENTO TERMICO DE TUBULACAO DE AR CONDICIONADO, AGUA QUENTE, DN 3/4", E= 10 MM</t>
  </si>
  <si>
    <t>VENEZIANA PARA TOMADA DE AR AWK 200X100MM</t>
  </si>
  <si>
    <t>00039189</t>
  </si>
  <si>
    <t>BUCHA DE REDUCAO EM ALUMINIO, COM ROSCA, DE 1 1/2" X 3/4", PARA ELETRODUTO</t>
  </si>
  <si>
    <t xml:space="preserve">BUCHA DE REDUÇÃO PARA ELETRODUTO PARA CONEXÃO APARAFUSADA, TIPO PESADO, FABRICADA EM LIGA DE ALUMÍNIO SILÍCIO COM PARAFUSO EM AÇO BICROMATIZADO, ACOPLÁVEL EM CONDULETES 'Ø 40 (1.1/2") X 20 (3/4") </t>
  </si>
  <si>
    <t xml:space="preserve">BUCHA DE REDUÇÃO PARA ELETRODUTO PARA CONEXÃO APARAFUSADA, TIPO PESADO, FABRICADA EM LIGA DE ALUMÍNIO SILÍCIO COM PARAFUSO EM AÇO BICROMATIZADO, ACOPLÁVEL EM CONDULETES 'Ø 40 (1.1/2") X 25 (1") </t>
  </si>
  <si>
    <t>BUCHA DE REDUCAO EM ALUMINIO, COM ROSCA, DE 1 1/2" X 1", PARA ELETRODUTO</t>
  </si>
  <si>
    <t>00039190</t>
  </si>
  <si>
    <t>BUCHA PARA ELETRODUTO SEM ROSCA, FABRICADA EM LIGA DE ALUMÍNIO, FORNECIDA COM PARAFUSOS DE FIXAÇÃO Ø 4"</t>
  </si>
  <si>
    <t>CONDULETE DE 1". OBS, TIPO LL</t>
  </si>
  <si>
    <t>CONDULETE DE 1". OBS, TIPO LR</t>
  </si>
  <si>
    <t>09.85.062</t>
  </si>
  <si>
    <t>CONDULETE DE 1 1/2" . OBS TIPO T</t>
  </si>
  <si>
    <t xml:space="preserve">CONDULETE DE 1 1/2" </t>
  </si>
  <si>
    <t>CONDULETE DE 1 1/2" . OBS TIPO LR</t>
  </si>
  <si>
    <t>CONDULETE DE 1 1/2" . OBS TIPO LL</t>
  </si>
  <si>
    <t>09.85.063</t>
  </si>
  <si>
    <t>CONDULETE DE 2". OBS TIPO LR</t>
  </si>
  <si>
    <t xml:space="preserve">CONDULETE DE 2". </t>
  </si>
  <si>
    <t>CONDULETE DE 2". OBS TIPO T</t>
  </si>
  <si>
    <t>CONDULETE DE 1 1/2" . OBS TIPO  T</t>
  </si>
  <si>
    <t>CONDULETE DE 2". OBS TIPO LB</t>
  </si>
  <si>
    <t>CONDULETE DE 2". OBS TIPO LL</t>
  </si>
  <si>
    <t>CURVA PARA ELETRODUTO 90 FABRICADA COM TUBO DE ALUMÍNIO EXTRUDADO, TIPO PESADO SCHEDULE 40 SEM REBARBAS. FORNECIDA PROTETOR DE ROSCA BSP NAS EXTREMIDADES. Ø 2" (50MM)</t>
  </si>
  <si>
    <t>BUCHA DE REDUÇÃO PARA ELETRODUTO PARA CONEXÃO APARAFUSADA, TIPO PESADO, FABRICADA EM LIGA DE ALUMÍNIO SILÍCIO COM PARAFUSO EM AÇO BICROMATIZADO, ACOPLÁVEL EM CONDULETES Ø 50 (2") X 20 (3/4")</t>
  </si>
  <si>
    <t>00039192</t>
  </si>
  <si>
    <t>BUCHA DE REDUCAO EM ALUMINIO, COM ROSCA, DE 2" X 3/4", PARA ELETRODUTO</t>
  </si>
  <si>
    <t>CABO DE COBRE FLEXÍVEL ISOLADO, 4 MM², ANTI-CHAMA 0,6/1,0 KV, PARA CIRCUITOS TERMINAIS - FORNECIMENTO E INSTALAÇÃO. AF_12/2015. (OBS. COR VERMELHO)</t>
  </si>
  <si>
    <t>CABO DE COBRE FLEXÍVEL ISOLADO, 120 MM², ANTI-CHAMA 0,6/1,0 KV, PARA DISTRIBUIÇÃO - FORNECIMENTO E INSTALAÇÃO. AF_12/2015</t>
  </si>
  <si>
    <t>CABO DE COBRE FLEXÍVEL ISOLADO, 120 MM², ANTI-CHAMA 0,6/1,0 KV, PARA DISTRIBUIÇÃO - FORNECIMENTO E INSTALAÇÃO. AF_12/2015 - COR PRETA</t>
  </si>
  <si>
    <t>CABO DE COBRE FLEXÍVEL ISOLADO, 120 MM², ANTI-CHAMA 0,6/1,0 KV, PARA DISTRIBUIÇÃO - FORNECIMENTO E INSTALAÇÃO. AF_12/2015 - COR BRANCA</t>
  </si>
  <si>
    <t>CABO DE COBRE FLEXÍVEL ISOLADO, 120 MM², ANTI-CHAMA 0,6/1,0 KV, PARA DISTRIBUIÇÃO - FORNECIMENTO E INSTALAÇÃO. AF_12/2015 - COR VERMELHA</t>
  </si>
  <si>
    <t>CABO DE COBRE FLEXÍVEL ISOLADO, 120 MM², ANTI-CHAMA 0,6/1,0 KV, PARA DISTRIBUIÇÃO - FORNECIMENTO E INSTALAÇÃO. AF_12/2015 - COR AZUL CLARO</t>
  </si>
  <si>
    <t>CABO DE COBRE FLEXÍVEL ISOLADO, 120 MM², ANTI-CHAMA 0,6/1,0 KV, PARA DISTRIBUIÇÃO - FORNECIMENTO E INSTALAÇÃO. AF_12/2015 - COR VERDE</t>
  </si>
  <si>
    <t>CABO DE COBRE FLEXÍVEL ISOLADO, 6 MM², ANTI-CHAMA 450/750 V, PARA CIRCUITOS TERMINAIS - FORNECIMENTO E INSTALAÇÃO. AF_12/2015</t>
  </si>
  <si>
    <t>CABO DE COBRE FLEXÍVEL ISOLADO, 6 MM², ANTI-CHAMA 450/750 V, PARA CIRCUITOS TERMINAIS - FORNECIMENTO E INSTALAÇÃO. AF_12/2015 ( COR PRETO)</t>
  </si>
  <si>
    <t>CABO DE COBRE FLEXÍVEL ISOLADO, 6 MM², ANTI-CHAMA 450/750 V, PARA CIRCUITOS TERMINAIS - FORNECIMENTO E INSTALAÇÃO. AF_12/2015 ( COR BRANCO)</t>
  </si>
  <si>
    <t>CABO DE COBRE FLEXÍVEL ISOLADO, 6 MM², ANTI-CHAMA 450/750 V, PARA CIRCUITOS TERMINAIS - FORNECIMENTO E INSTALAÇÃO. AF_12/2015 ( COR VERMELHO)</t>
  </si>
  <si>
    <t>CABO DE COBRE FLEXÍVEL ISOLADO, 6 MM², ANTI-CHAMA 450/750 V, PARA CIRCUITOS TERMINAIS - FORNECIMENTO E INSTALAÇÃO. AF_12/2015 ( COR VERDE)</t>
  </si>
  <si>
    <t>CABO DE COBRE FLEXÍVEL ISOLADO, 50 MM², ANTI-CHAMA 0,6/1,0 KV, PARA DISTRIBUIÇÃO - FORNECIMENTO E INSTALAÇÃO. AF_12/2015. (OBS=COR AZUL CLARO)</t>
  </si>
  <si>
    <t>CABO DE COBRE FLEXÍVEL ISOLADO, 50 MM², ANTI-CHAMA 0,6/1,0 KV, PARA DISTRIBUIÇÃO - FORNECIMENTO E INSTALAÇÃO. AF_12/2015. (OBS=COR VERDE)</t>
  </si>
  <si>
    <t>CABO DE COBRE FLEXÍVEL ISOLADO, 95 MM², ANTI-CHAMA 0,6/1,0 KV, PARA DISTRIBUIÇÃO - FORNECIMENTO E INSTALAÇÃO. AF_12/2015. (OBS=COR PRETO)</t>
  </si>
  <si>
    <t>CABO DE COBRE FLEXÍVEL ISOLADO, 95 MM², ANTI-CHAMA 0,6/1,0 KV, PARA DISTRIBUIÇÃO - FORNECIMENTO E INSTALAÇÃO. AF_12/2015. (OBS=COR BRANCO)</t>
  </si>
  <si>
    <t>CABO DE COBRE FLEXÍVEL ISOLADO, 95 MM², ANTI-CHAMA 0,6/1,0 KV, PARA DISTRIBUIÇÃO - FORNECIMENTO E INSTALAÇÃO. AF_12/2015. (OBS=COR VERMELHO)</t>
  </si>
  <si>
    <t>CABO DE COBRE FLEXÍVEL ISOLADO, 70 MM², ANTI-CHAMA 0,6/1,0 KV, PARA DISTRIBUIÇÃO - FORNECIMENTO E INSTALAÇÃO. AF_12/2015</t>
  </si>
  <si>
    <t>CABO DE COBRE FLEXÍVEL ISOLADO, 70 MM², ANTI-CHAMA 0,6/1,0 KV, PARA DISTRIBUIÇÃO - FORNECIMENTO E INSTALAÇÃO. AF_12/2015 ( COR: PRETO)</t>
  </si>
  <si>
    <t>CABO DE COBRE FLEXÍVEL ISOLADO, 70 MM², ANTI-CHAMA 0,6/1,0 KV, PARA DISTRIBUIÇÃO - FORNECIMENTO E INSTALAÇÃO. AF_12/2015 ( COR: BRANCO)</t>
  </si>
  <si>
    <t>CABO DE COBRE FLEXÍVEL ISOLADO, 70 MM², ANTI-CHAMA 0,6/1,0 KV, PARA DISTRIBUIÇÃO - FORNECIMENTO E INSTALAÇÃO. AF_12/2015 ( COR: VERMELHO)</t>
  </si>
  <si>
    <t>CABO DE COBRE FLEXÍVEL ISOLADO, 70 MM², ANTI-CHAMA 0,6/1,0 KV, PARA DISTRIBUIÇÃO - FORNECIMENTO E INSTALAÇÃO. AF_12/2015 ( COR: AZUL CLARO)</t>
  </si>
  <si>
    <t>CABO DE COBRE FLEXÍVEL ISOLADO, 35 MM², ANTI-CHAMA 0,6/1,0 KV, PARA DISTRIBUIÇÃO - FORNECIMENTO E INSTALAÇÃO. AF_12/2015 ( COR: VERDE)</t>
  </si>
  <si>
    <t>CABO DE COBRE FLEXÍVEL ISOLADO, 70 MM², ANTI-CHAMA 0,6/1,0 KV, PARA DISTRIBUIÇÃO - FORNECIMENTO E INSTALAÇÃO. AF_12/2015 ( COR: VERDE)</t>
  </si>
  <si>
    <t>CABO DE COBRE FLEXÍVEL ISOLADO, 150 MM², ANTI-CHAMA 0,6/1,0 KV, PARA DISTRIBUIÇÃO - FORNECIMENTO E INSTALAÇÃO. AF_12/2015 - COR PRETO</t>
  </si>
  <si>
    <t xml:space="preserve">CABO DE COBRE FLEXÍVEL ISOLADO, 150 MM², ANTI-CHAMA 0,6/1,0 KV, PARA DISTRIBUIÇÃO - FORNECIMENTO E INSTALAÇÃO. </t>
  </si>
  <si>
    <t>CABO DE COBRE FLEXÍVEL ISOLADO, 150 MM², ANTI-CHAMA 0,6/1,0 KV, PARA DISTRIBUIÇÃO - FORNECIMENTO E INSTALAÇÃO. AF_12/2015 - COR BRANCO</t>
  </si>
  <si>
    <t>CABO DE COBRE FLEXÍVEL ISOLADO, 150 MM², ANTI-CHAMA 0,6/1,0 KV, PARA DISTRIBUIÇÃO - FORNECIMENTO E INSTALAÇÃO. AF_12/2015 - COR VERMELHO</t>
  </si>
  <si>
    <t>CABO DE COBRE FLEXÍVEL ISOLADO, 150 MM², ANTI-CHAMA 0,6/1,0 KV, PARA DISTRIBUIÇÃO - FORNECIMENTO E INSTALAÇÃO. AF_12/2015 - COR AZUL CLARO</t>
  </si>
  <si>
    <t>CABO DE COBRE FLEXÍVEL ISOLADO, 240 MM², ANTI-CHAMA 0,6/1,0 KV, PARA DISTRIBUIÇÃO - FORNECIMENTO E INSTALAÇÃO.</t>
  </si>
  <si>
    <t>CABO DE COBRE FLEXÍVEL ISOLADO, 240 MM², ANTI-CHAMA 0,6/1,0 KV, PARA DISTRIBUIÇÃO - FORNECIMENTO E INSTALAÇÃO. AF_12/2015 - COR PRETO</t>
  </si>
  <si>
    <t>CABO DE COBRE FLEXÍVEL ISOLADO, 240 MM², ANTI-CHAMA 0,6/1,0 KV, PARA DISTRIBUIÇÃO - FORNECIMENTO E INSTALAÇÃO. AF_12/2015 - COR BRANCO</t>
  </si>
  <si>
    <t>CABO DE COBRE FLEXÍVEL ISOLADO, 240 MM², ANTI-CHAMA 0,6/1,0 KV, PARA DISTRIBUIÇÃO - FORNECIMENTO E INSTALAÇÃO. AF_12/2015 - COR VERMELHO</t>
  </si>
  <si>
    <t>CABO DE COBRE FLEXÍVEL ISOLADO, 240 MM², ANTI-CHAMA 0,6/1,0 KV, PARA DISTRIBUIÇÃO - FORNECIMENTO E INSTALAÇÃO. AF_12/2015 - COR AZUL CLARO</t>
  </si>
  <si>
    <t>CABO DE COBRE FLEXÍVEL ISOLADO, 4 MM², ANTI-CHAMA 0,6/1,0 KV, PARA CIRCUITOS TERMINAIS - FORNECIMENTO E INSTALAÇÃO. AF_12/2015. OBS( COR VERDE)</t>
  </si>
  <si>
    <t>TERMINAÇÕES DE CONDUTORES DE COBRE FLEXÍVEIS E RÍGIDOS, 120MM2.</t>
  </si>
  <si>
    <t>TERMINAÇÕES DE CONDUTORES DE COBRE FLEXÍVEIS E RÍGIDOS, 35MM2.</t>
  </si>
  <si>
    <t>TERMINAÇÕES DE CONDUTORES DE COBRE FLEXÍVEIS E RÍGIDOS, 70MM2.</t>
  </si>
  <si>
    <t>TERMINAÇÕES DE CONDUTORES DE COBRE FLEXÍVEIS E RÍGIDOS, 240MM2.</t>
  </si>
  <si>
    <t>DISJUNTOR TRIPOLAR TERMOMAGNETICO 3X400A</t>
  </si>
  <si>
    <t>09.02.091</t>
  </si>
  <si>
    <t>09.02.089</t>
  </si>
  <si>
    <t>DISJUNTOR TRIPOLAR TERMOMAGNETICO 3X60A A 3X100A</t>
  </si>
  <si>
    <t>CABO DE COBRE FLEXÍVEL ISOLADO, 2,5 MM², ANTI-CHAMA 0,6/1,0 KV, PARA CIRCUITOS TERMINAIS - FORNECIMENTO E INSTALAÇÃO. AF_12/2015. OBS.</t>
  </si>
  <si>
    <t>TUBO DE ESPUMA DE POLIETILENO EXPANDIDO FLEXIVEL PARA ISOLAMENTO TERMICO DE TUBULACAO DE AR CONDICIONADO, AGUA QUENTE, DN 1/4", E= 13 MM</t>
  </si>
  <si>
    <t>REFERENCIA</t>
  </si>
  <si>
    <t>MAPA DE ORÇAMENTOS 1</t>
  </si>
  <si>
    <t>MAPA DE ORÇAMENTOS 2</t>
  </si>
  <si>
    <t>MAPA DE ORÇAMENTOS 5</t>
  </si>
  <si>
    <t>MAPA DE ORÇAMENTOS 6</t>
  </si>
  <si>
    <t>MAPA DE ORÇAMENTOS 7</t>
  </si>
  <si>
    <t>MAPA DE ORÇAMENTOS 8</t>
  </si>
  <si>
    <t>MAPA DE ORÇAMENTOS 9</t>
  </si>
  <si>
    <t>MAPA DE ORÇAMENTOS 10</t>
  </si>
  <si>
    <t>MAPA DE ORÇAMENTOS 11</t>
  </si>
  <si>
    <t>MAPA DE ORÇAMENTOS 12</t>
  </si>
  <si>
    <t>MAPA DE ORÇAMENTOS 13</t>
  </si>
  <si>
    <t>MAPA DE ORÇAMENTOS 14</t>
  </si>
  <si>
    <t>MAPA DE ORÇAMENTOS 15</t>
  </si>
  <si>
    <t>MAPA DE ORÇAMENTOS 16</t>
  </si>
  <si>
    <t>MAPA DE ORÇAMENTOS 17</t>
  </si>
  <si>
    <t>MAPA DE ORÇAMENTOS 18</t>
  </si>
  <si>
    <t>MAPA DE ORÇAMENTOS 19</t>
  </si>
  <si>
    <t>MAPA DE ORÇAMENTOS 20</t>
  </si>
  <si>
    <t>MAPA DE ORÇAMENTOS 21</t>
  </si>
  <si>
    <t>MAPA DE ORÇAMENTOS 22</t>
  </si>
  <si>
    <t>MAPA DE ORÇAMENTOS 23</t>
  </si>
  <si>
    <t>MAPA DE ORÇAMENTOS 24</t>
  </si>
  <si>
    <t>MAPA DE ORÇAMENTOS 25</t>
  </si>
  <si>
    <t>MAPA DE ORÇAMENTOS 26</t>
  </si>
  <si>
    <t>MAPA DE ORÇAMENTOS 27</t>
  </si>
  <si>
    <t>MAPA DE ORÇAMENTOS 28</t>
  </si>
  <si>
    <t>MAPA DE ORÇAMENTOS 29</t>
  </si>
  <si>
    <t>MAPA DE ORÇAMENTOS 30</t>
  </si>
  <si>
    <t>MAPA DE ORÇAMENTOS 31</t>
  </si>
  <si>
    <t>MAPA DE ORÇAMENTOS 32</t>
  </si>
  <si>
    <t>MAPA DE ORÇAMENTOS 33</t>
  </si>
  <si>
    <t>MAPA DE ORÇAMENTOS 34</t>
  </si>
  <si>
    <t>MAPA DE ORÇAMENTOS 35</t>
  </si>
  <si>
    <t>MAPA DE ORÇAMENTOS 36</t>
  </si>
  <si>
    <t>MAPA DE ORÇAMENTOS 37</t>
  </si>
  <si>
    <t>MAPA DE ORÇAMENTOS 38</t>
  </si>
  <si>
    <t>MAPA DE ORÇAMENTOS 39</t>
  </si>
  <si>
    <t>MAPA DE ORÇAMENTOS 40</t>
  </si>
  <si>
    <t>MAPA DE ORÇAMENTOS 41</t>
  </si>
  <si>
    <t>MAPA DE ORÇAMENTOS 42</t>
  </si>
  <si>
    <t>MAPA DE ORÇAMENTOS 43</t>
  </si>
  <si>
    <t>MAPA DE ORÇAMENTOS 44</t>
  </si>
  <si>
    <t>MAPA DE ORÇAMENTOS 45</t>
  </si>
  <si>
    <t>MAPA DE ORÇAMENTOS 46</t>
  </si>
  <si>
    <t>MAPA DE ORÇAMENTOS 47</t>
  </si>
  <si>
    <t>MAPA DE ORÇAMENTOS 48</t>
  </si>
  <si>
    <t>MAPA DE ORÇAMENTOS 49</t>
  </si>
  <si>
    <t>MAPA DE ORÇAMENTOS 50</t>
  </si>
  <si>
    <t>MAPA DE ORÇAMENTOS 51</t>
  </si>
  <si>
    <t>MAPA DE ORÇAMENTOS 52</t>
  </si>
  <si>
    <t>MAPA DE ORÇAMENTOS 53</t>
  </si>
  <si>
    <t>MAPA DE ORÇAMENTOS 54</t>
  </si>
  <si>
    <t>MAPA DE ORÇAMENTOS 55</t>
  </si>
  <si>
    <t>MAPA DE ORÇAMENTOS 56</t>
  </si>
  <si>
    <t>MAPA DE ORÇAMENTOS 57</t>
  </si>
  <si>
    <t>MAPA DE ORÇAMENTOS 58</t>
  </si>
  <si>
    <t>MAPA DE ORÇAMENTOS 59</t>
  </si>
  <si>
    <t>MAPA DE ORÇAMENTOS 60</t>
  </si>
  <si>
    <t>MAPA DE ORÇAMENTOS 61</t>
  </si>
  <si>
    <t>MAPA DE ORÇAMENTOS 62</t>
  </si>
  <si>
    <t>MAPA DE ORÇAMENTOS 63</t>
  </si>
  <si>
    <t>MAPA DE ORÇAMENTOS 64</t>
  </si>
  <si>
    <t>MAPA DE ORÇAMENTOS 65</t>
  </si>
  <si>
    <t>MAPA DE ORÇAMENTOS 66</t>
  </si>
  <si>
    <t>MAPA DE ORÇAMENTOS 67</t>
  </si>
  <si>
    <t>MAPA DE ORÇAMENTOS 68</t>
  </si>
  <si>
    <t>MAPA DE ORÇAMENTOS 69</t>
  </si>
  <si>
    <t>MAPA DE ORÇAMENTOS 70</t>
  </si>
  <si>
    <t>MAPA DE ORÇAMENTOS 71</t>
  </si>
  <si>
    <t>MAPA DE ORÇAMENTOS 72</t>
  </si>
  <si>
    <t>MAPA DE ORÇAMENTOS 73</t>
  </si>
  <si>
    <t>MAPA DE ORÇAMENTOS 74</t>
  </si>
  <si>
    <t>MAPA DE ORÇAMENTOS 75</t>
  </si>
  <si>
    <t>MAPA DE ORÇAMENTOS 76</t>
  </si>
  <si>
    <t>MAPA DE ORÇAMENTOS 77</t>
  </si>
  <si>
    <t>MAPA DE ORÇAMENTOS 78</t>
  </si>
  <si>
    <t>MAPA DE ORÇAMENTOS 79</t>
  </si>
  <si>
    <t>MAPA DE ORÇAMENTOS 80</t>
  </si>
  <si>
    <t>MAPA DE ORÇAMENTOS 81</t>
  </si>
  <si>
    <t>MAPA DE ORÇAMENTOS 82</t>
  </si>
  <si>
    <t>MAPA DE ORÇAMENTOS 83</t>
  </si>
  <si>
    <t>MAPA DE ORÇAMENTOS 84</t>
  </si>
  <si>
    <t>MAPA DE ORÇAMENTOS 85</t>
  </si>
  <si>
    <t>MAPA DE ORÇAMENTOS 86</t>
  </si>
  <si>
    <t>MAPA DE ORÇAMENTOS 87</t>
  </si>
  <si>
    <t>MAPA DE ORÇAMENTOS 88</t>
  </si>
  <si>
    <t>MAPA DE ORÇAMENTOS 89</t>
  </si>
  <si>
    <t>MAPA DE ORÇAMENTOS 90</t>
  </si>
  <si>
    <t>MAPA DE ORÇAMENTOS 91</t>
  </si>
  <si>
    <t>MAPA DE ORÇAMENTOS 92</t>
  </si>
  <si>
    <t>MAPA DE ORÇAMENTOS 93</t>
  </si>
  <si>
    <t>MAPA DE ORÇAMENTOS 94</t>
  </si>
  <si>
    <t>MAPA DE ORÇAMENTOS 95</t>
  </si>
  <si>
    <t>MAPA DE ORÇAMENTOS 96</t>
  </si>
  <si>
    <t>MAPA DE ORÇAMENTOS 97</t>
  </si>
  <si>
    <t>MAPA DE ORÇAMENTOS 98</t>
  </si>
  <si>
    <t>MAPA DE ORÇAMENTOS 99</t>
  </si>
  <si>
    <t>MAPA DE ORÇAMENTOS 100</t>
  </si>
  <si>
    <t>MAPA DE ORÇAMENTOS 101</t>
  </si>
  <si>
    <t>MAPA DE ORÇAMENTOS 102</t>
  </si>
  <si>
    <t>MAPA DE ORÇAMENTOS 103</t>
  </si>
  <si>
    <t>MAPA DE ORÇAMENTOS 104</t>
  </si>
  <si>
    <t>MAPA DE ORÇAMENTOS 105</t>
  </si>
  <si>
    <t>MAPA DE ORÇAMENTOS 106</t>
  </si>
  <si>
    <t>MAPA DE ORÇAMENTOS 107</t>
  </si>
  <si>
    <t>MAPA DE ORÇAMENTOS 108</t>
  </si>
  <si>
    <t>MAPA DE ORÇAMENTOS 109</t>
  </si>
  <si>
    <t>MAPA DE ORÇAMENTOS 110</t>
  </si>
  <si>
    <t>MAPA DE ORÇAMENTOS 111</t>
  </si>
  <si>
    <t>MAPA DE ORÇAMENTOS 112</t>
  </si>
  <si>
    <t>MAPA DE ORÇAMENTOS 113</t>
  </si>
  <si>
    <t>MAPA DE ORÇAMENTOS 114</t>
  </si>
  <si>
    <t>MAPA DE ORÇAMENTOS 115</t>
  </si>
  <si>
    <t>MAPA DE ORÇAMENTOS 116</t>
  </si>
  <si>
    <t>MAPA DE ORÇAMENTOS 117</t>
  </si>
  <si>
    <t>MAPA DE ORÇAMENTOS 118</t>
  </si>
  <si>
    <t>MAPA DE ORÇAMENTOS 119</t>
  </si>
  <si>
    <t>MAPA DE ORÇAMENTOS 120</t>
  </si>
  <si>
    <t>MAPA DE ORÇAMENTOS 121</t>
  </si>
  <si>
    <t>MAPA DE ORÇAMENTOS 122</t>
  </si>
  <si>
    <t>MAPA DE ORÇAMENTOS 123</t>
  </si>
  <si>
    <t>MAPA DE ORÇAMENTOS 124</t>
  </si>
  <si>
    <t>MAPA DE ORÇAMENTOS 125</t>
  </si>
  <si>
    <t>MAPA DE ORÇAMENTOS 126</t>
  </si>
  <si>
    <t>MAPA DE ORÇAMENTOS 127</t>
  </si>
  <si>
    <t>MAPA DE ORÇAMENTOS 128</t>
  </si>
  <si>
    <t>MAPA DE ORÇAMENTOS 129</t>
  </si>
  <si>
    <t>MAPA DE ORÇAMENTOS 130</t>
  </si>
  <si>
    <t>MAPA DE ORÇAMENTOS 131</t>
  </si>
  <si>
    <t>MAPA DE ORÇAMENTOS 132</t>
  </si>
  <si>
    <t>MAPA DE ORÇAMENTOS 133</t>
  </si>
  <si>
    <t xml:space="preserve"> PAINEL ELÉTRICO 001 - IRACEMA MIELE</t>
  </si>
  <si>
    <t>PARA PAINEL ELÉTRICO 002 - JOSÉ RIBEIRO</t>
  </si>
  <si>
    <t>PARA PAINEL ELÉTRICO 003 - IRMA MIRANDA DE MELO</t>
  </si>
  <si>
    <t>PARA PAINEL ELÉTRICO 004 - MAURICIO LEITE</t>
  </si>
  <si>
    <t>PARA PAINEL ELÉTRICO 005 - IZOLINA</t>
  </si>
  <si>
    <t>PARA PAINEL ELÉTRICO 006 - SANTO GARBIM</t>
  </si>
  <si>
    <t>PARA PAINEL ELÉTRICO 007 - PROFESSORA ALCINEIA</t>
  </si>
  <si>
    <t>PARA PAINEL ELÉTRICO 008 - PAULO BIMBO GOMES</t>
  </si>
  <si>
    <t>PARA PAINEL ELÉTRICO 009 - PEDRO NETO I</t>
  </si>
  <si>
    <t>PARA PAINEL ELÉTRICO 010 - FRANCISCO SALLES</t>
  </si>
  <si>
    <t>PARA PAINEL ELÉTRICO 011 - MARIA LUCIA BERTI</t>
  </si>
  <si>
    <t>PARA PAINEL ELÉTRICO 012 - PEDRO NETO II</t>
  </si>
  <si>
    <t>PARA PAINEL ELÉTRICO 013 - ARLINDO MORANDINI</t>
  </si>
  <si>
    <t>PARA PAINEL ELÉTRICO 014 - FERNANDA DA SILVA</t>
  </si>
  <si>
    <t>PARA PAINEL ELÉTRICO 015 - ARTHUR OLIVA</t>
  </si>
  <si>
    <t>PARA PAINEL ELÉTRICO 016 - ENFERMEIRA MARIA</t>
  </si>
  <si>
    <t>PARA PAINEL ELÉTRICO 017 - ODETTE LEITE</t>
  </si>
  <si>
    <t>E.M.E.B. PROFESSORA VITÓRIA OLIVITO NONINO</t>
  </si>
  <si>
    <t>PARA PAINEL ELÉTRICO 018 - PROFESSORA VITORIA OLIVITO</t>
  </si>
  <si>
    <t>PARA PAINEL ELÉTRICO 020 - CAEC 2</t>
  </si>
  <si>
    <t>PARA PAINEL ELÉTRICO 021 - CAEC 1</t>
  </si>
  <si>
    <t>PARA PAINEL ELÉTRICO 022 - PROFESSORA ELAINE MARIA</t>
  </si>
  <si>
    <t>PARA PAINEL ELÉTRICO 023 - IZAURA ROQUE</t>
  </si>
  <si>
    <t>PARA PAINEL ELÉTRICO 024 - PROFESSORA MARIA APARECIDA</t>
  </si>
  <si>
    <t>PARA PAINEL ELÉTRICO 025 - PROFESSORA SYLVIA FERREIRA</t>
  </si>
  <si>
    <t>QUAT.
TOTAL</t>
  </si>
  <si>
    <t>AMC</t>
  </si>
  <si>
    <t>ETL</t>
  </si>
  <si>
    <t>NOVA
EXAUSTORES</t>
  </si>
  <si>
    <t>ELÉTRICA
MINAS</t>
  </si>
  <si>
    <t>GRELHA DE INSUFLAMENTO COM REGISTRO AT-AG 525X225MM</t>
  </si>
  <si>
    <t>GRELHA DE INSUFLAMENTO COM REGISTRO VAT-AG 225X75MM</t>
  </si>
  <si>
    <t>GRELHA DE INSUFLAMENTO COM REGISTRO AT-AG 225X125MM,</t>
  </si>
  <si>
    <t>GRELHA DE INSUFLAMENTO COM REGISTRO AT-AG 325X125M.</t>
  </si>
  <si>
    <t>ELÉTRICA
BICHUETTE</t>
  </si>
  <si>
    <t>BEGE</t>
  </si>
  <si>
    <t>AMERICANAS</t>
  </si>
  <si>
    <t>POLIPARTES</t>
  </si>
  <si>
    <t>MULT-AR</t>
  </si>
  <si>
    <t>Contrubuição Previdenciária</t>
  </si>
  <si>
    <t>Garantias e Seguros</t>
  </si>
  <si>
    <t>Despesas indiretas</t>
  </si>
  <si>
    <t>1.1.3</t>
  </si>
  <si>
    <t>Despesas Administrativas</t>
  </si>
  <si>
    <t>GS</t>
  </si>
  <si>
    <t xml:space="preserve">Riscos </t>
  </si>
  <si>
    <t xml:space="preserve">Despesas Legais (PIS/ISS/COFINS/INSS) </t>
  </si>
  <si>
    <t>Ref.: Tabela do FDE 09/2018</t>
  </si>
  <si>
    <t>BDI: 29,71%</t>
  </si>
  <si>
    <t>DI</t>
  </si>
  <si>
    <t>DL</t>
  </si>
  <si>
    <t>LB</t>
  </si>
  <si>
    <t>Encargos sociais básicos</t>
  </si>
  <si>
    <t>Parcial</t>
  </si>
  <si>
    <t>total</t>
  </si>
  <si>
    <t xml:space="preserve">Previdência Social </t>
  </si>
  <si>
    <t>Fundo de Garantia por Tempo de Serviço</t>
  </si>
  <si>
    <t>Salário-Educação</t>
  </si>
  <si>
    <t>Serviço Social da Indústria (Sesi)</t>
  </si>
  <si>
    <t xml:space="preserve"> Serviço Nacional de Aprendizagem Industrial (Senai) </t>
  </si>
  <si>
    <t xml:space="preserve"> Serviço de Apoio à Pequena e Média Empresa (Sebrae)</t>
  </si>
  <si>
    <t>Instituto Nacional de Colonização e Reforma Agrária
(Incra)</t>
  </si>
  <si>
    <t>Seguro contra os acidentes de trabalho (INSS)</t>
  </si>
  <si>
    <t xml:space="preserve">Seconci - Serviço Social da Indústria da Construção e do
Mobiliário (aplicável a todas as empresas constantes do
III grupo da CLT-art.577)
</t>
  </si>
  <si>
    <t>Feriados Nacionais, Estaduais e Municipais</t>
  </si>
  <si>
    <t>Repouso Semanal Remunerado</t>
  </si>
  <si>
    <t xml:space="preserve"> Aviso Prévio Trabalhado </t>
  </si>
  <si>
    <t xml:space="preserve">Aviso Prévio Indenizado </t>
  </si>
  <si>
    <t>Auxílio Infermidade</t>
  </si>
  <si>
    <t>13º Salário</t>
  </si>
  <si>
    <t>Licença Paternidade</t>
  </si>
  <si>
    <t>Ausências Abonadas</t>
  </si>
  <si>
    <t>Encargos Sociais recebem as incidências do Grupo
A</t>
  </si>
  <si>
    <t xml:space="preserve">Encargos Sociais que não recebem as incidências
globais de A </t>
  </si>
  <si>
    <t>Taxas das reincidências</t>
  </si>
  <si>
    <t xml:space="preserve">Reincidência de A sobre B </t>
  </si>
  <si>
    <t xml:space="preserve">Depósito Rescisão Sem Justa Causa </t>
  </si>
  <si>
    <t xml:space="preserve">Férias e Abono de Férias </t>
  </si>
  <si>
    <t>Adicional por Aviso-Prévio</t>
  </si>
  <si>
    <t>Total de Encargos Sociais sobre Salário Hora (%)</t>
  </si>
  <si>
    <t>L. S. Horista: 98,89%</t>
  </si>
  <si>
    <t>AR-COTEC</t>
  </si>
  <si>
    <t>LOJA
MERC</t>
  </si>
  <si>
    <t>ELITE
GÁS</t>
  </si>
  <si>
    <t>C&amp;C</t>
  </si>
  <si>
    <t>DUTRA
MÁQUINAS</t>
  </si>
  <si>
    <t>WEB
CONTINENTAL</t>
  </si>
  <si>
    <t>ÊXITO</t>
  </si>
  <si>
    <t>SEIMMEI</t>
  </si>
  <si>
    <t>EQUIFLEX</t>
  </si>
  <si>
    <t>ELETROMAC</t>
  </si>
  <si>
    <t>EXTRA</t>
  </si>
  <si>
    <t>FG</t>
  </si>
  <si>
    <t>LEROY
MERLIN</t>
  </si>
  <si>
    <t>CIGAME</t>
  </si>
  <si>
    <t>PYSMIAN</t>
  </si>
  <si>
    <t>JUDY
CABOS</t>
  </si>
  <si>
    <t>CCP</t>
  </si>
  <si>
    <t>SMI</t>
  </si>
  <si>
    <t>CHAPA DE ACO FINA A FRIO BITOLA MSG 26, E = 0,45 MM (3,60 KG/M2)</t>
  </si>
  <si>
    <t>CHAPA DE ACO FINA A FRIO BITOLA MSG 24, E = 0,60 MM (4,80 KG/M2)</t>
  </si>
  <si>
    <t>MACROTEC</t>
  </si>
  <si>
    <t>INFRA
ELETROCALHAS</t>
  </si>
  <si>
    <t>SUPER
ELÉTRICA</t>
  </si>
  <si>
    <t>GIMAWA</t>
  </si>
  <si>
    <t>VENEZIANA PARA TOMADA DE AR AWK 100X100MM</t>
  </si>
  <si>
    <t>VENEZIANA PARA TOMADA DE AR AWK 300X200MM</t>
  </si>
  <si>
    <t>VENEZIANA PARA TOMADA DE AR AWK 300X400MM</t>
  </si>
  <si>
    <t>VENEZIANA PARA TOMADA DE AR AWK 450X250MM</t>
  </si>
  <si>
    <t>VENEZIANA PARA TOMADA DE AR AWK 550X100MM</t>
  </si>
  <si>
    <t>E.M.E.B. IRACEMA MIELE</t>
  </si>
  <si>
    <t>CGR
PAINÉIS</t>
  </si>
  <si>
    <t>TROPICAL
RIO</t>
  </si>
  <si>
    <t>FDE</t>
  </si>
  <si>
    <t>ENGENHEIRO CIVIL</t>
  </si>
  <si>
    <t>EXECUÇÃO DE DEPÓSITO EM CANTEIRO DE OBRA EM CHAPA DE MADEIRA COMPENSADA</t>
  </si>
  <si>
    <t xml:space="preserve">1.01.16 </t>
  </si>
  <si>
    <t>BANCO DE PREÇO</t>
  </si>
  <si>
    <t>16.06.078</t>
  </si>
  <si>
    <t>FORNECIMENTO E INSTALAÇAO DE PLACA DE IDENTIFICAÇAO DE OBRA INCLUSO SUPORTE ESTRUTURA DE MADEIRA.</t>
  </si>
  <si>
    <t>CUSTO UNITÁRIO COM BDI</t>
  </si>
  <si>
    <t>TELA PLASTICA LARANJA, TIPO TAPUME PARA SINALIZACAO, MALHA RETANGULAR, ROLO 1.20 X 50 M (L X C)</t>
  </si>
  <si>
    <t>TUBO DE COBRE FLEXIVEL, D = 5/8 ", E = 0,79 MM, PARA AR-CONDICIONADO/ INSTALACOES GAS RESIDENCIAIS E COMERCIAIS</t>
  </si>
  <si>
    <t>TUBO DE ESPUMA DE POLIETILENO EXPANDIDO FLEXIVEL PARA ISOLAMENTO TERMICO DE TUBULACAO DE AR CONDICIONADO, AGUA QUENTE, DN 7/8", E= 10 MM</t>
  </si>
  <si>
    <r>
      <t xml:space="preserve">CABO MULTIPOLAR DE COBRE, FLEXIVEL, CLASSE 4 OU 5, ISOLACAO EM HEPR, COBERTURA EM PVC-ST2, ANTICHAMA BWF-B, 0,6/1 KV, 3 CONDUTORES DE 2,5 MM2 </t>
    </r>
    <r>
      <rPr>
        <b/>
        <sz val="11"/>
        <color theme="1"/>
        <rFont val="Calibri"/>
        <family val="2"/>
        <scheme val="minor"/>
      </rPr>
      <t>(06 VIAS)</t>
    </r>
  </si>
  <si>
    <t>PEDREIRO COM ENCARGOS COMPLEMENTARES</t>
  </si>
  <si>
    <t>LASTRO DE CONCRETO MAGRO, APLICADO EM PISOS, LAJES SOBRE SOLO OU RADIERS, ESPESSURA DE 5 CM. AF_07/2016</t>
  </si>
  <si>
    <t>Eletrocalha lisa galvanizada a fogo, 50 x 50 mm, com acessórios</t>
  </si>
  <si>
    <t>38.21.110</t>
  </si>
  <si>
    <t>Eletrocalha perfurada galvanizada a fogo, 100 x 50 mm, com acessórios</t>
  </si>
  <si>
    <t>38.21.920</t>
  </si>
  <si>
    <t>38.06.040</t>
  </si>
  <si>
    <t>Eletroduto galvanizado a quente conforme NBR5598 ‐ 3/4´ com acessórios</t>
  </si>
  <si>
    <t>Eletroduto galvanizado a quente conforme NBR5598 ‐ 1´ com acessórios</t>
  </si>
  <si>
    <t>38.06.060</t>
  </si>
  <si>
    <t>Eletroduto galvanizado a quente conforme NBR5598 ‐ 4´ com acessórios</t>
  </si>
  <si>
    <t>38.06.180</t>
  </si>
  <si>
    <t>09.82.027</t>
  </si>
  <si>
    <t>TERMINAL OU CONECTOR DE PRESSAO PARA CABO 25MM</t>
  </si>
  <si>
    <t>09.82.029</t>
  </si>
  <si>
    <t>TERMINAL OU CONECTOR DE PRESSAO PARA CABO 50MM</t>
  </si>
  <si>
    <t>TERMINAL OU CONECTOR DE PRESSAO PARA CABO 95MM</t>
  </si>
  <si>
    <t>09.82.031</t>
  </si>
  <si>
    <t>09.82.034</t>
  </si>
  <si>
    <t>TERMINAL OU CONECTOR DE PRESSAO PARA CABO 185MM</t>
  </si>
  <si>
    <t>DISJUNTOR TRIPOLAR TERMOMAGNETICO 3X125A A 3X225A</t>
  </si>
  <si>
    <t>UM</t>
  </si>
  <si>
    <t>DISJUNTOR BIPOLAR TERMOMAGNETICO 2X10A A 2X50A</t>
  </si>
  <si>
    <t>09.04.091</t>
  </si>
  <si>
    <t>CONTATOR TRIPOLAR, CORRENTE DE 12 A, TENSAO NOMINAL DE *500* V, CATEGORIA AC-2 E AC-3</t>
  </si>
  <si>
    <t>Sinalizador com lâmpada</t>
  </si>
  <si>
    <t>40.20.050</t>
  </si>
  <si>
    <t>Fonte de alimentação universal bivolt com saída de 24 V ‐ 1,5 A ‐ 35 W</t>
  </si>
  <si>
    <t>61.15.010</t>
  </si>
  <si>
    <t>Painel autoportante em chapa de aço, com proteção mínima IP 54</t>
  </si>
  <si>
    <t>Dispositivo de proteção contra surto, 1 polo, suportabilidade &lt;= 4 kV, Um até 240V/415V, Iimp = 60 kA, curva de ensaio 10/350μs ‐ classe 1</t>
  </si>
  <si>
    <t>37.24.042</t>
  </si>
  <si>
    <t>46.32.005</t>
  </si>
  <si>
    <t>Tubo de cobre sem costura, rígido, espessura 1/16" ‐ diâmetro 7/8", inclusive conexões</t>
  </si>
  <si>
    <t>61.10.564</t>
  </si>
  <si>
    <t>Grelha de insuflação de ar em alumínio anodizado, de dupla deflexão,
tamanho: até 0,10 m²</t>
  </si>
  <si>
    <t>61.10.565</t>
  </si>
  <si>
    <t>Grelha de insuflação de ar em alumínio anodizado, de dupla deflexão,
tamanho: acima de 0,10 m² até 0,50 m²</t>
  </si>
  <si>
    <t>Grelha de insuflação de ar em alumínio anodizado, de dupla deflexão,tamanho: acima de 0,10 m² até 0,50 m²</t>
  </si>
  <si>
    <t>Grelha de insuflação de ar em alumínio anodizado, de dupla deflexão,tamanho: até 0,10 m²</t>
  </si>
  <si>
    <t>61.10.581</t>
  </si>
  <si>
    <t>Veneziana com tela e filtro G4</t>
  </si>
  <si>
    <t>CURVA 90 GRAUS, PARA ELETRODUTO, EM ACO GALVANIZADO ELETROLITICO, DIAMETRO DE 100 MM (4")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</si>
  <si>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</si>
  <si>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</si>
  <si>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</si>
  <si>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</si>
  <si>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</si>
  <si>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</si>
  <si>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</si>
  <si>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</si>
  <si>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</si>
  <si>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</si>
  <si>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</si>
  <si>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</si>
  <si>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</si>
  <si>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</si>
  <si>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</si>
  <si>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</si>
  <si>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</si>
  <si>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</si>
  <si>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</si>
  <si>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</si>
  <si>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</si>
  <si>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1.3.4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</si>
  <si>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</si>
  <si>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</si>
  <si>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</si>
  <si>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</si>
  <si>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</si>
  <si>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</si>
  <si>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</si>
  <si>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</si>
  <si>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</si>
  <si>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</si>
  <si>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</si>
  <si>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</si>
  <si>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</si>
  <si>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</si>
  <si>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</si>
  <si>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</si>
  <si>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</si>
  <si>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</si>
  <si>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</si>
  <si>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</si>
  <si>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</si>
  <si>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</si>
  <si>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</si>
  <si>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</si>
  <si>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</si>
  <si>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</si>
  <si>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</si>
  <si>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</si>
  <si>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</si>
  <si>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</si>
  <si>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</si>
  <si>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</si>
  <si>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TOTAL ITEM 1.2 ---&gt;</t>
  </si>
  <si>
    <t>TOTAL ITEM 1.1 ---&gt;</t>
  </si>
  <si>
    <t>TOTAL ITEM 1.3---&gt;</t>
  </si>
  <si>
    <t>TOTAL ITEM 1.4 ---&gt;</t>
  </si>
  <si>
    <t>LUVA PARA ELETRODUTO, EM ACO GALVANIZADO ELETROLITICO, DIAMETRO DE 100 MM (4")</t>
  </si>
  <si>
    <t>Eletrocalha lisa galvanizada a fogo, 200 x 50 mm, com acessórios</t>
  </si>
  <si>
    <t>38.21.140</t>
  </si>
  <si>
    <t>Eletroduto galvanizado a quente conforme NBR5598 ‐ 1 1/2´ com
acessórios</t>
  </si>
  <si>
    <t>09.82.028</t>
  </si>
  <si>
    <t>TERMINAL OU CONECTOR DE PRESSAO PARA CABO 35MM</t>
  </si>
  <si>
    <t>TERMINAL OU CONECTOR DE PRESSAO PARA CABO 120MM</t>
  </si>
  <si>
    <t>09.82.032</t>
  </si>
  <si>
    <t>09.83.067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</si>
  <si>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</si>
  <si>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</si>
  <si>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</si>
  <si>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</si>
  <si>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</si>
  <si>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</si>
  <si>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</si>
  <si>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</si>
  <si>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</si>
  <si>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</si>
  <si>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</si>
  <si>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</si>
  <si>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</si>
  <si>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</si>
  <si>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</si>
  <si>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</si>
  <si>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</si>
  <si>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</si>
  <si>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</si>
  <si>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</si>
  <si>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</si>
  <si>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</si>
  <si>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</si>
  <si>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</si>
  <si>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</si>
  <si>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</si>
  <si>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</si>
  <si>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</si>
  <si>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</si>
  <si>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</si>
  <si>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</si>
  <si>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</si>
  <si>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</si>
  <si>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</si>
  <si>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</si>
  <si>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</si>
  <si>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</si>
  <si>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</si>
  <si>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</si>
  <si>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</si>
  <si>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</si>
  <si>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</si>
  <si>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</si>
  <si>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</si>
  <si>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</si>
  <si>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</si>
  <si>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</si>
  <si>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</si>
  <si>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</si>
  <si>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</si>
  <si>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</si>
  <si>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</si>
  <si>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</si>
  <si>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</si>
  <si>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TOTAL ITEM 2.1 ---&gt;</t>
  </si>
  <si>
    <t>TOTAL ITEM 2.2---&gt;</t>
  </si>
  <si>
    <t>TOTAL ITEM 2.4 ---&gt;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</si>
  <si>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</si>
  <si>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</si>
  <si>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</si>
  <si>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</si>
  <si>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</si>
  <si>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</si>
  <si>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</si>
  <si>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</si>
  <si>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</si>
  <si>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</si>
  <si>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</si>
  <si>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</si>
  <si>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</si>
  <si>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</si>
  <si>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</si>
  <si>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</si>
  <si>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</si>
  <si>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</si>
  <si>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</si>
  <si>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</si>
  <si>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</si>
  <si>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</si>
  <si>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</si>
  <si>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</si>
  <si>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</si>
  <si>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</si>
  <si>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</si>
  <si>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</si>
  <si>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</si>
  <si>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</si>
  <si>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</si>
  <si>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</si>
  <si>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</si>
  <si>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3.3.25</t>
  </si>
  <si>
    <t>3.3.26</t>
  </si>
  <si>
    <t>3.3.27</t>
  </si>
  <si>
    <t>3.3.28</t>
  </si>
  <si>
    <t>3.3.29</t>
  </si>
  <si>
    <t>3.3.30</t>
  </si>
  <si>
    <t>3.3.31</t>
  </si>
  <si>
    <t>3.3.32</t>
  </si>
  <si>
    <t>3.3.33</t>
  </si>
  <si>
    <t>3.3.34</t>
  </si>
  <si>
    <t>3.3.35</t>
  </si>
  <si>
    <t>3.3.36</t>
  </si>
  <si>
    <t>3.3.37</t>
  </si>
  <si>
    <t>3.3.38</t>
  </si>
  <si>
    <t>3.3.39</t>
  </si>
  <si>
    <t>3.3.40</t>
  </si>
  <si>
    <t>3.3.41</t>
  </si>
  <si>
    <t>3.3.42</t>
  </si>
  <si>
    <t>3.3.43</t>
  </si>
  <si>
    <t>3.3.44</t>
  </si>
  <si>
    <t>3.3.45</t>
  </si>
  <si>
    <t>3.3.46</t>
  </si>
  <si>
    <t>3.3.47</t>
  </si>
  <si>
    <t>3.3.48</t>
  </si>
  <si>
    <t>3.3.49</t>
  </si>
  <si>
    <t>3.3.50</t>
  </si>
  <si>
    <t>QUADRO GERAL - DISJUNTOR TERMO MAGNETICO 3X125A A 3X225A</t>
  </si>
  <si>
    <t>09.04.025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</si>
  <si>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</si>
  <si>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</si>
  <si>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</si>
  <si>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</si>
  <si>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</si>
  <si>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</si>
  <si>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</si>
  <si>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</si>
  <si>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</si>
  <si>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</si>
  <si>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</si>
  <si>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</si>
  <si>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</si>
  <si>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</si>
  <si>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</si>
  <si>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</si>
  <si>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</si>
  <si>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Eletroduto galvanizado a quente conforme NBR5598 ‐ 3´ com acessórios</t>
  </si>
  <si>
    <t>38.06.160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</si>
  <si>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</si>
  <si>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</si>
  <si>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</si>
  <si>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</si>
  <si>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</si>
  <si>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</si>
  <si>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</si>
  <si>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</si>
  <si>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</si>
  <si>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</si>
  <si>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</si>
  <si>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</si>
  <si>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</si>
  <si>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</si>
  <si>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</si>
  <si>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</si>
  <si>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</si>
  <si>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</si>
  <si>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</si>
  <si>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</si>
  <si>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</si>
  <si>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</si>
  <si>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</si>
  <si>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</si>
  <si>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38.06.100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</si>
  <si>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</si>
  <si>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</si>
  <si>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</si>
  <si>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</si>
  <si>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</si>
  <si>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</si>
  <si>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</si>
  <si>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</si>
  <si>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</si>
  <si>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</si>
  <si>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</si>
  <si>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</si>
  <si>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</si>
  <si>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</si>
  <si>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</si>
  <si>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</si>
  <si>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</si>
  <si>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</si>
  <si>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</si>
  <si>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</si>
  <si>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</si>
  <si>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</si>
  <si>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</si>
  <si>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</si>
  <si>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</si>
  <si>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</si>
  <si>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</si>
  <si>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</si>
  <si>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</si>
  <si>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</si>
  <si>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</si>
  <si>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</si>
  <si>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</si>
  <si>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</si>
  <si>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</si>
  <si>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</si>
  <si>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</si>
  <si>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</si>
  <si>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</si>
  <si>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</si>
  <si>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</si>
  <si>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</si>
  <si>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</si>
  <si>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5.3.35</t>
  </si>
  <si>
    <t>5.3.36</t>
  </si>
  <si>
    <t>5.3.37</t>
  </si>
  <si>
    <t>5.3.38</t>
  </si>
  <si>
    <t>5.3.39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</si>
  <si>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</si>
  <si>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</si>
  <si>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</si>
  <si>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</si>
  <si>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</si>
  <si>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</si>
  <si>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</si>
  <si>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</si>
  <si>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</si>
  <si>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</si>
  <si>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</si>
  <si>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</si>
  <si>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</si>
  <si>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</si>
  <si>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</si>
  <si>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</si>
  <si>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</si>
  <si>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</si>
  <si>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</si>
  <si>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TOTAL ITEM 6.2 ---&gt;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</si>
  <si>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</si>
  <si>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</si>
  <si>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</si>
  <si>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</si>
  <si>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</si>
  <si>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</si>
  <si>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</si>
  <si>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</si>
  <si>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</si>
  <si>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</si>
  <si>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</si>
  <si>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</si>
  <si>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</si>
  <si>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</si>
  <si>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</si>
  <si>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</si>
  <si>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</si>
  <si>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</si>
  <si>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</si>
  <si>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</si>
  <si>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</si>
  <si>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</si>
  <si>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</si>
  <si>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6.3.25</t>
  </si>
  <si>
    <t>6.3.26</t>
  </si>
  <si>
    <t>6.3.27</t>
  </si>
  <si>
    <t>6.3.28</t>
  </si>
  <si>
    <t>6.3.29</t>
  </si>
  <si>
    <t>TOTAL ITEM 6.3 ---&gt;</t>
  </si>
  <si>
    <t>Eletroduto galvanizado a quente conforme NBR5598 ‐ 2´ com acessórios</t>
  </si>
  <si>
    <t>38.06.120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</si>
  <si>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</si>
  <si>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</si>
  <si>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</si>
  <si>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</si>
  <si>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</si>
  <si>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</si>
  <si>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</si>
  <si>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</si>
  <si>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</si>
  <si>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</si>
  <si>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</si>
  <si>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</si>
  <si>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</si>
  <si>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</si>
  <si>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</si>
  <si>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7.3.6</t>
  </si>
  <si>
    <t>7.3.7</t>
  </si>
  <si>
    <t>7.3.8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</si>
  <si>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</si>
  <si>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</si>
  <si>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</si>
  <si>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</si>
  <si>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</si>
  <si>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</si>
  <si>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</si>
  <si>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</si>
  <si>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7.3.18</t>
  </si>
  <si>
    <t>7.3.19</t>
  </si>
  <si>
    <t>7.3.20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</si>
  <si>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</si>
  <si>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</si>
  <si>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</si>
  <si>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</si>
  <si>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</si>
  <si>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</si>
  <si>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</si>
  <si>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</si>
  <si>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</si>
  <si>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</si>
  <si>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</si>
  <si>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</si>
  <si>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</si>
  <si>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</si>
  <si>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8.3.7</t>
  </si>
  <si>
    <t>8.3.8</t>
  </si>
  <si>
    <t>8.3.9</t>
  </si>
  <si>
    <t>8.3.10</t>
  </si>
  <si>
    <t>8.3.11</t>
  </si>
  <si>
    <t>8.3.12</t>
  </si>
  <si>
    <t>8.3.13</t>
  </si>
  <si>
    <t>FDE - Tab. Ref. Abril/2021</t>
  </si>
  <si>
    <t>9.1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</si>
  <si>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</si>
  <si>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</si>
  <si>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</si>
  <si>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</si>
  <si>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</si>
  <si>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</si>
  <si>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</si>
  <si>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</si>
  <si>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</si>
  <si>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</si>
  <si>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</si>
  <si>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</si>
  <si>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</si>
  <si>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</si>
  <si>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</si>
  <si>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</si>
  <si>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</si>
  <si>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</si>
  <si>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</si>
  <si>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</si>
  <si>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</si>
  <si>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</si>
  <si>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</si>
  <si>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9.3.2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</si>
  <si>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</si>
  <si>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</si>
  <si>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</si>
  <si>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</si>
  <si>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</si>
  <si>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</si>
  <si>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</si>
  <si>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</si>
  <si>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</si>
  <si>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</si>
  <si>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</si>
  <si>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9.3.17</t>
  </si>
  <si>
    <t>9.3.18</t>
  </si>
  <si>
    <t>9.3.19</t>
  </si>
  <si>
    <t>9.3.20</t>
  </si>
  <si>
    <t>9.3.21</t>
  </si>
  <si>
    <t>9.3.22</t>
  </si>
  <si>
    <t>9.3.23</t>
  </si>
  <si>
    <t>9.3.24</t>
  </si>
  <si>
    <t>9.3.25</t>
  </si>
  <si>
    <t>9.3.26</t>
  </si>
  <si>
    <t>9.3.27</t>
  </si>
  <si>
    <t>9.3.28</t>
  </si>
  <si>
    <t>9.3.29</t>
  </si>
  <si>
    <t>9.3.30</t>
  </si>
  <si>
    <t>9.3.31</t>
  </si>
  <si>
    <t>9.3.32</t>
  </si>
  <si>
    <t>9.3.33</t>
  </si>
  <si>
    <t>TOTAL ITEM 9.1 ---&gt;</t>
  </si>
  <si>
    <t>TOTAL ITEM 9.2 ---&gt;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</si>
  <si>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</si>
  <si>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</si>
  <si>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</si>
  <si>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</si>
  <si>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</si>
  <si>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</si>
  <si>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</si>
  <si>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</si>
  <si>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</si>
  <si>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</si>
  <si>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</si>
  <si>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</si>
  <si>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</si>
  <si>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</si>
  <si>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10.3.6</t>
  </si>
  <si>
    <t>10.3.7</t>
  </si>
  <si>
    <t>10.3.8</t>
  </si>
  <si>
    <t>10.3.10</t>
  </si>
  <si>
    <t>10.3.11</t>
  </si>
  <si>
    <t>10.3.12</t>
  </si>
  <si>
    <t>10.3.13</t>
  </si>
  <si>
    <t>10.3.14</t>
  </si>
  <si>
    <t>10.3.15</t>
  </si>
  <si>
    <t>10.3.16</t>
  </si>
  <si>
    <t>10.3.17</t>
  </si>
  <si>
    <t>10.3.18</t>
  </si>
  <si>
    <t>10.3.19</t>
  </si>
  <si>
    <t>10.3.20</t>
  </si>
  <si>
    <t>10.3.21</t>
  </si>
  <si>
    <t>10.3.22</t>
  </si>
  <si>
    <t>CURVA 90 GRAUS, PARA ELETRODUTO, EM ACO GALVANIZADO ELETROLITICO, DIAMETRO DE 50 MM (2")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</si>
  <si>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</si>
  <si>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</si>
  <si>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</si>
  <si>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</si>
  <si>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</si>
  <si>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</si>
  <si>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</si>
  <si>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</si>
  <si>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</si>
  <si>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</si>
  <si>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</si>
  <si>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</si>
  <si>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</si>
  <si>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</si>
  <si>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</si>
  <si>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</si>
  <si>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</si>
  <si>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</si>
  <si>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</si>
  <si>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</si>
  <si>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</si>
  <si>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</si>
  <si>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</si>
  <si>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</si>
  <si>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11.3.18</t>
  </si>
  <si>
    <t>11.3.19</t>
  </si>
  <si>
    <t>11.3.20</t>
  </si>
  <si>
    <t>11.3.21</t>
  </si>
  <si>
    <t>11.3.22</t>
  </si>
  <si>
    <t>11.3.23</t>
  </si>
  <si>
    <t>11.3.24</t>
  </si>
  <si>
    <t>11.3.25</t>
  </si>
  <si>
    <t>11.3.26</t>
  </si>
  <si>
    <t>11.3.27</t>
  </si>
  <si>
    <t>11.3.28</t>
  </si>
  <si>
    <t>11.3.29</t>
  </si>
  <si>
    <t>11.3.30</t>
  </si>
  <si>
    <t>11.3.31</t>
  </si>
  <si>
    <t>12.2.1</t>
  </si>
  <si>
    <t>12.2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</si>
  <si>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</si>
  <si>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</si>
  <si>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</si>
  <si>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</si>
  <si>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</si>
  <si>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</si>
  <si>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</si>
  <si>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</si>
  <si>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</si>
  <si>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</si>
  <si>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</si>
  <si>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</si>
  <si>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</si>
  <si>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</si>
  <si>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</si>
  <si>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</si>
  <si>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</si>
  <si>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12.3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</si>
  <si>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</si>
  <si>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</si>
  <si>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</si>
  <si>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</si>
  <si>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</si>
  <si>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</si>
  <si>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</si>
  <si>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</si>
  <si>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</si>
  <si>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</si>
  <si>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</si>
  <si>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</si>
  <si>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</si>
  <si>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</si>
  <si>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</si>
  <si>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12.3.19</t>
  </si>
  <si>
    <t>12.3.20</t>
  </si>
  <si>
    <t>12.3.21</t>
  </si>
  <si>
    <t>12.3.22</t>
  </si>
  <si>
    <t>12.3.23</t>
  </si>
  <si>
    <t>12.3.24</t>
  </si>
  <si>
    <t>12.3.25</t>
  </si>
  <si>
    <t>12.3.26</t>
  </si>
  <si>
    <t>12.3.27</t>
  </si>
  <si>
    <t>12.3.28</t>
  </si>
  <si>
    <t>12.3.29</t>
  </si>
  <si>
    <t>12.3.30</t>
  </si>
  <si>
    <t>12.3.31</t>
  </si>
  <si>
    <t>12.3.32</t>
  </si>
  <si>
    <t>12.4</t>
  </si>
  <si>
    <t>12.4.1</t>
  </si>
  <si>
    <t>TOTAL ITEM 12.2 ---&gt;</t>
  </si>
  <si>
    <t>TOTAL ITEM 12.4---&gt;</t>
  </si>
  <si>
    <t>TOTAL ITEM 12.3---&gt;</t>
  </si>
  <si>
    <t>13.0</t>
  </si>
  <si>
    <t>13.1</t>
  </si>
  <si>
    <t>13.1.1</t>
  </si>
  <si>
    <t>13.1.2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</si>
  <si>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</si>
  <si>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</si>
  <si>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</si>
  <si>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</si>
  <si>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</si>
  <si>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</si>
  <si>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</si>
  <si>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</si>
  <si>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</si>
  <si>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</si>
  <si>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</si>
  <si>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</si>
  <si>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</si>
  <si>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</si>
  <si>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</si>
  <si>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</si>
  <si>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</si>
  <si>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</si>
  <si>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</si>
  <si>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</si>
  <si>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</si>
  <si>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</si>
  <si>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</si>
  <si>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</si>
  <si>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</si>
  <si>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</si>
  <si>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</si>
  <si>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</si>
  <si>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</si>
  <si>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</si>
  <si>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</si>
  <si>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</si>
  <si>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</si>
  <si>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</si>
  <si>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</si>
  <si>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13.3.18</t>
  </si>
  <si>
    <t>13.3.19</t>
  </si>
  <si>
    <t>13.3.20</t>
  </si>
  <si>
    <t>13.3.21</t>
  </si>
  <si>
    <t>13.3.22</t>
  </si>
  <si>
    <t>13.3.23</t>
  </si>
  <si>
    <t>13.3.24</t>
  </si>
  <si>
    <t>13.3.25</t>
  </si>
  <si>
    <t>13.3.26</t>
  </si>
  <si>
    <t>13.3.27</t>
  </si>
  <si>
    <t>13.3.28</t>
  </si>
  <si>
    <t>13.3.29</t>
  </si>
  <si>
    <t>13.3.30</t>
  </si>
  <si>
    <t>13.3.31</t>
  </si>
  <si>
    <t>13.3.32</t>
  </si>
  <si>
    <t>13.3.33</t>
  </si>
  <si>
    <t>13.3.34</t>
  </si>
  <si>
    <t>13.3.35</t>
  </si>
  <si>
    <t>13.3.36</t>
  </si>
  <si>
    <t>13.3.37</t>
  </si>
  <si>
    <t>13.3.38</t>
  </si>
  <si>
    <t>14.0</t>
  </si>
  <si>
    <t>14.1</t>
  </si>
  <si>
    <t>14.1.1</t>
  </si>
  <si>
    <t>14.1.2</t>
  </si>
  <si>
    <t>14.2</t>
  </si>
  <si>
    <t>14.2.1</t>
  </si>
  <si>
    <t>TOTAL ITEM 14.1 ---&gt;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</si>
  <si>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</si>
  <si>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</si>
  <si>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</si>
  <si>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</si>
  <si>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</si>
  <si>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</si>
  <si>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</si>
  <si>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</si>
  <si>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</si>
  <si>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</si>
  <si>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</si>
  <si>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</si>
  <si>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</si>
  <si>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</si>
  <si>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</si>
  <si>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</si>
  <si>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09.82.035</t>
  </si>
  <si>
    <t>TERMINAL OU CONECTOR DE PRESSAO PARA CABO 240MM</t>
  </si>
  <si>
    <t>14.3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</si>
  <si>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</si>
  <si>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</si>
  <si>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</si>
  <si>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</si>
  <si>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</si>
  <si>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</si>
  <si>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</si>
  <si>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</si>
  <si>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</si>
  <si>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</si>
  <si>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</si>
  <si>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</si>
  <si>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14.3.13</t>
  </si>
  <si>
    <t>14.3.14</t>
  </si>
  <si>
    <t>14.3.15</t>
  </si>
  <si>
    <t>14.3.16</t>
  </si>
  <si>
    <t>14.3.17</t>
  </si>
  <si>
    <t>14.3.18</t>
  </si>
  <si>
    <t>14.3.19</t>
  </si>
  <si>
    <t>14.3.20</t>
  </si>
  <si>
    <t>14.3.21</t>
  </si>
  <si>
    <t>14.3.25</t>
  </si>
  <si>
    <t>14.3.26</t>
  </si>
  <si>
    <t>14.3.27</t>
  </si>
  <si>
    <t>14.3.28</t>
  </si>
  <si>
    <t>14.3.29</t>
  </si>
  <si>
    <t>14.3.30</t>
  </si>
  <si>
    <t>14.3.31</t>
  </si>
  <si>
    <t>14.3.32</t>
  </si>
  <si>
    <t>14.3.33</t>
  </si>
  <si>
    <t>14.3.34</t>
  </si>
  <si>
    <t>14.3.35</t>
  </si>
  <si>
    <t>14.3.36</t>
  </si>
  <si>
    <t>14.3.37</t>
  </si>
  <si>
    <t>TOTAL ITEM 14.2 ---&gt;</t>
  </si>
  <si>
    <t>TOTAL ITEM 13.1 ---&gt;</t>
  </si>
  <si>
    <t>TOTAL ITEM 13.2 ---&gt;</t>
  </si>
  <si>
    <t>TOTAL ITEM 13.3 ---&gt;</t>
  </si>
  <si>
    <t>TOTAL ITEM 13.4 ---&gt;</t>
  </si>
  <si>
    <t>14.4</t>
  </si>
  <si>
    <t>14.4.1</t>
  </si>
  <si>
    <t>15.0</t>
  </si>
  <si>
    <t>15.1</t>
  </si>
  <si>
    <t>15.1.1</t>
  </si>
  <si>
    <t>15.1.2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</si>
  <si>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</si>
  <si>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</si>
  <si>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</si>
  <si>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</si>
  <si>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</si>
  <si>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</si>
  <si>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</si>
  <si>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</si>
  <si>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</si>
  <si>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</si>
  <si>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</si>
  <si>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</si>
  <si>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</si>
  <si>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</si>
  <si>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</si>
  <si>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</si>
  <si>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</si>
  <si>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</si>
  <si>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TERMINAÇÕES DE CONDUTORES DE COBRE FLEXÍVEIS E RÍGIDOS, 150MM2
INTELLI OU SIMILAR</t>
  </si>
  <si>
    <t>TERMINAL OU CONECTOR DE PRESSAO PARA CABO 150MM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</si>
  <si>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</si>
  <si>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</si>
  <si>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</si>
  <si>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</si>
  <si>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</si>
  <si>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</si>
  <si>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</si>
  <si>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</si>
  <si>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</si>
  <si>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</si>
  <si>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</si>
  <si>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</si>
  <si>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</si>
  <si>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</si>
  <si>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</si>
  <si>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</si>
  <si>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</si>
  <si>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</si>
  <si>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</si>
  <si>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</si>
  <si>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15.3.21</t>
  </si>
  <si>
    <t>15.3.22</t>
  </si>
  <si>
    <t>15.3.23</t>
  </si>
  <si>
    <t>15.3.24</t>
  </si>
  <si>
    <t>15.4</t>
  </si>
  <si>
    <t>15.4.1</t>
  </si>
  <si>
    <t>TOTAL ITEM 15.1 ---&gt;</t>
  </si>
  <si>
    <t>TOTAL ITEM 15.2 ---&gt;</t>
  </si>
  <si>
    <t>TOTAL ITEM 15.3 ---&gt;</t>
  </si>
  <si>
    <t>TOTAL ITEM 15.4---&gt;</t>
  </si>
  <si>
    <t>16.0</t>
  </si>
  <si>
    <t>16.1</t>
  </si>
  <si>
    <t>16.1.1</t>
  </si>
  <si>
    <t>16.1.2</t>
  </si>
  <si>
    <t>TOTAL ITEM 16.1 ---&gt;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</si>
  <si>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</si>
  <si>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</si>
  <si>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</si>
  <si>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</si>
  <si>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</si>
  <si>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</si>
  <si>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</si>
  <si>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</si>
  <si>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</si>
  <si>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</si>
  <si>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</si>
  <si>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</si>
  <si>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</si>
  <si>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</si>
  <si>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</si>
  <si>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</si>
  <si>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</si>
  <si>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16.2.17</t>
  </si>
  <si>
    <t>16.3</t>
  </si>
  <si>
    <t>16.3.1</t>
  </si>
  <si>
    <t>TOTAL ITEM 16.2 ---&gt;</t>
  </si>
  <si>
    <t>DISJUNTOR TERMOMAGNÉTICO TRIPOLAR , CORRENTE NOMINAL DE 250A - FORNECIMENTO E INSTALAÇÃO. AF_10/2020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</si>
  <si>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</si>
  <si>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</si>
  <si>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</si>
  <si>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</si>
  <si>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</si>
  <si>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</si>
  <si>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</si>
  <si>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</si>
  <si>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</si>
  <si>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</si>
  <si>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</si>
  <si>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</si>
  <si>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16.3.14</t>
  </si>
  <si>
    <t>16.3.15</t>
  </si>
  <si>
    <t>16.3.16</t>
  </si>
  <si>
    <t>16.3.20</t>
  </si>
  <si>
    <t>16.3.21</t>
  </si>
  <si>
    <t>16.3.22</t>
  </si>
  <si>
    <t>16.3.23</t>
  </si>
  <si>
    <t>16.3.24</t>
  </si>
  <si>
    <t>16.3.25</t>
  </si>
  <si>
    <t>16.3.26</t>
  </si>
  <si>
    <t>16.3.27</t>
  </si>
  <si>
    <t>16.3.28</t>
  </si>
  <si>
    <t>16.3.29</t>
  </si>
  <si>
    <t>16.3.30</t>
  </si>
  <si>
    <t>16.3.31</t>
  </si>
  <si>
    <t>16.3.32</t>
  </si>
  <si>
    <t>16.3.33</t>
  </si>
  <si>
    <t>16.3.34</t>
  </si>
  <si>
    <t>16.3.35</t>
  </si>
  <si>
    <t>16.3.36</t>
  </si>
  <si>
    <t>16.3.37</t>
  </si>
  <si>
    <t>16.3.38</t>
  </si>
  <si>
    <t>16.3.39</t>
  </si>
  <si>
    <t>16.4</t>
  </si>
  <si>
    <t>16.4.1</t>
  </si>
  <si>
    <t>TOTAL ITEM 16.3 ---&gt;</t>
  </si>
  <si>
    <t>TOTAL ITEM 16.4 ---&gt;</t>
  </si>
  <si>
    <t>17.0</t>
  </si>
  <si>
    <t>17.1</t>
  </si>
  <si>
    <t>17.1.1</t>
  </si>
  <si>
    <t>17.1.2</t>
  </si>
  <si>
    <t>17.2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</si>
  <si>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</si>
  <si>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</si>
  <si>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</si>
  <si>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</si>
  <si>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</si>
  <si>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</si>
  <si>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</si>
  <si>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</si>
  <si>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</si>
  <si>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</si>
  <si>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</si>
  <si>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</si>
  <si>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</si>
  <si>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</si>
  <si>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</si>
  <si>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</si>
  <si>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17.2.17</t>
  </si>
  <si>
    <t>17.2.18</t>
  </si>
  <si>
    <t>17.2.19</t>
  </si>
  <si>
    <t>17.2.20</t>
  </si>
  <si>
    <t>17.3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</si>
  <si>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</si>
  <si>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</si>
  <si>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</si>
  <si>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</si>
  <si>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</si>
  <si>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</si>
  <si>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</si>
  <si>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</si>
  <si>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</si>
  <si>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17.3.10</t>
  </si>
  <si>
    <t>17.3.11</t>
  </si>
  <si>
    <t>17.3.12</t>
  </si>
  <si>
    <t>17.3.13</t>
  </si>
  <si>
    <t>17.3.14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</si>
  <si>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</si>
  <si>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</si>
  <si>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</si>
  <si>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</si>
  <si>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</si>
  <si>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</si>
  <si>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</si>
  <si>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</si>
  <si>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</si>
  <si>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17.3.26</t>
  </si>
  <si>
    <t>17.3.27</t>
  </si>
  <si>
    <t>17.3.28</t>
  </si>
  <si>
    <t>17.3.29</t>
  </si>
  <si>
    <t>17.3.30</t>
  </si>
  <si>
    <t>17.3.31</t>
  </si>
  <si>
    <t>17.3.32</t>
  </si>
  <si>
    <t>17.3.33</t>
  </si>
  <si>
    <t>TOTAL ITEM 17.1 ---&gt;</t>
  </si>
  <si>
    <t>TOTAL ITEM 17.2---&gt;</t>
  </si>
  <si>
    <t>TOTAL ITEM 17.3 ---&gt;</t>
  </si>
  <si>
    <t>TOTAL ITEM 17.4 ---&gt;</t>
  </si>
  <si>
    <t>DISJUNTOR TRIPOLAR TERMOMAGNETICO 3X60A a 3X100A</t>
  </si>
  <si>
    <t>09.83.066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</si>
  <si>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</si>
  <si>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</si>
  <si>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</si>
  <si>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</si>
  <si>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</si>
  <si>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</si>
  <si>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</si>
  <si>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</si>
  <si>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</si>
  <si>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</si>
  <si>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</si>
  <si>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</si>
  <si>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</si>
  <si>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</si>
  <si>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</si>
  <si>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</si>
  <si>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</si>
  <si>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</si>
  <si>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</si>
  <si>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</si>
  <si>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</si>
  <si>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</si>
  <si>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</si>
  <si>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</si>
  <si>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</si>
  <si>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</si>
  <si>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18.3.19</t>
  </si>
  <si>
    <t>18.3.20</t>
  </si>
  <si>
    <t>18.3.21</t>
  </si>
  <si>
    <t>18.3.22</t>
  </si>
  <si>
    <t>18.3.23</t>
  </si>
  <si>
    <t>18.3.24</t>
  </si>
  <si>
    <t>18.3.25</t>
  </si>
  <si>
    <t>18.3.26</t>
  </si>
  <si>
    <t>18.3.27</t>
  </si>
  <si>
    <t>18.3.28</t>
  </si>
  <si>
    <t>18.3.29</t>
  </si>
  <si>
    <t>18.3.30</t>
  </si>
  <si>
    <t>18.3.31</t>
  </si>
  <si>
    <t>18.3.32</t>
  </si>
  <si>
    <t>TOTAL ITEM 18.1 ---&gt;</t>
  </si>
  <si>
    <t>TOTAL ITEM 18.2 ---&gt;</t>
  </si>
  <si>
    <t>TOTAL ITEM 18.3 ---&gt;</t>
  </si>
  <si>
    <t>TOTAL ITEM 18.4 ---&gt;</t>
  </si>
  <si>
    <t>19.0</t>
  </si>
  <si>
    <t>19.1</t>
  </si>
  <si>
    <t>19.1.1</t>
  </si>
  <si>
    <t>19.1.2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</si>
  <si>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</si>
  <si>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</si>
  <si>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</si>
  <si>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</si>
  <si>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</si>
  <si>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</si>
  <si>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</si>
  <si>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</si>
  <si>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</si>
  <si>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</si>
  <si>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</si>
  <si>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</si>
  <si>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</si>
  <si>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</si>
  <si>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19.2.14</t>
  </si>
  <si>
    <t>19.2.15</t>
  </si>
  <si>
    <t>19.2.16</t>
  </si>
  <si>
    <t>19.2.17</t>
  </si>
  <si>
    <t>19.2.18</t>
  </si>
  <si>
    <t>19.3</t>
  </si>
  <si>
    <t>19.3.1</t>
  </si>
  <si>
    <t>19.3.2</t>
  </si>
  <si>
    <t>19.3.3</t>
  </si>
  <si>
    <t>19.3.4</t>
  </si>
  <si>
    <t>19.3.5</t>
  </si>
  <si>
    <t>19.3.6</t>
  </si>
  <si>
    <t>19.3.7</t>
  </si>
  <si>
    <t>19.3.8</t>
  </si>
  <si>
    <t>19.3.9</t>
  </si>
  <si>
    <t>19.3.10</t>
  </si>
  <si>
    <t>19.3.11</t>
  </si>
  <si>
    <t>19.3.12</t>
  </si>
  <si>
    <t>19.3.13</t>
  </si>
  <si>
    <t>19.3.14</t>
  </si>
  <si>
    <t>19.3.15</t>
  </si>
  <si>
    <t>19.3.16</t>
  </si>
  <si>
    <t>19.3.17</t>
  </si>
  <si>
    <t>19.3.18</t>
  </si>
  <si>
    <t>19.3.19</t>
  </si>
  <si>
    <t>19.3.20</t>
  </si>
  <si>
    <t>19.3.21</t>
  </si>
  <si>
    <t>19.3.22</t>
  </si>
  <si>
    <t>19.3.23</t>
  </si>
  <si>
    <t>19.3.24</t>
  </si>
  <si>
    <t>19.3.25</t>
  </si>
  <si>
    <t>19.3.26</t>
  </si>
  <si>
    <t>19.3.27</t>
  </si>
  <si>
    <t>19.3.28</t>
  </si>
  <si>
    <t>19.3.29</t>
  </si>
  <si>
    <t>19.3.30</t>
  </si>
  <si>
    <t>19.3.31</t>
  </si>
  <si>
    <t>19.3.32</t>
  </si>
  <si>
    <t>19.3.33</t>
  </si>
  <si>
    <t>19.3.34</t>
  </si>
  <si>
    <t>19.3.35</t>
  </si>
  <si>
    <t>19.4</t>
  </si>
  <si>
    <t>19.4.1</t>
  </si>
  <si>
    <t>20.1</t>
  </si>
  <si>
    <t>20.1.1</t>
  </si>
  <si>
    <t>20.1.2</t>
  </si>
  <si>
    <t>TOTAL ITEM 19.1 ---&gt;</t>
  </si>
  <si>
    <t>TOTAL ITEM 19.2 ---&gt;</t>
  </si>
  <si>
    <t>TOTAL ITEM 19.3 ---&gt;</t>
  </si>
  <si>
    <t>TOTAL ITEM 19.4---&gt;</t>
  </si>
  <si>
    <t>20.2</t>
  </si>
  <si>
    <t>20.2.1</t>
  </si>
  <si>
    <t>20.2.2</t>
  </si>
  <si>
    <t>20.2.3</t>
  </si>
  <si>
    <t>20.2.4</t>
  </si>
  <si>
    <t>20.2.5</t>
  </si>
  <si>
    <t>20.2.6</t>
  </si>
  <si>
    <t>20.2.7</t>
  </si>
  <si>
    <t>20.2.8</t>
  </si>
  <si>
    <t>20.2.9</t>
  </si>
  <si>
    <t>20.2.10</t>
  </si>
  <si>
    <t>20.2.11</t>
  </si>
  <si>
    <t>20.2.12</t>
  </si>
  <si>
    <t>20.2.13</t>
  </si>
  <si>
    <t>20.2.14</t>
  </si>
  <si>
    <t>20.2.15</t>
  </si>
  <si>
    <t>20.3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</si>
  <si>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</si>
  <si>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</si>
  <si>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</si>
  <si>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</si>
  <si>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</si>
  <si>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</si>
  <si>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</si>
  <si>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</si>
  <si>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</si>
  <si>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20.3.10</t>
  </si>
  <si>
    <t>20.3.11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</si>
  <si>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</si>
  <si>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</si>
  <si>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</si>
  <si>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</si>
  <si>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</si>
  <si>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</si>
  <si>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</si>
  <si>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</si>
  <si>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</si>
  <si>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20.3.22</t>
  </si>
  <si>
    <t>20.3.23</t>
  </si>
  <si>
    <t>20.3.24</t>
  </si>
  <si>
    <t>20.3.25</t>
  </si>
  <si>
    <t>20.3.26</t>
  </si>
  <si>
    <t>20.3.27</t>
  </si>
  <si>
    <t>20.3.28</t>
  </si>
  <si>
    <t>20.3.29</t>
  </si>
  <si>
    <t>20.3.30</t>
  </si>
  <si>
    <t>20.3.31</t>
  </si>
  <si>
    <t>20.3.32</t>
  </si>
  <si>
    <t>20.3.33</t>
  </si>
  <si>
    <t>20.4</t>
  </si>
  <si>
    <t>20.4.1</t>
  </si>
  <si>
    <t>TOTAL ITEM 20.1 ---&gt;</t>
  </si>
  <si>
    <t>TOTAL ITEM 20.2 ---&gt;</t>
  </si>
  <si>
    <t>TOTAL ITEM 20.3 ---&gt;</t>
  </si>
  <si>
    <t>TOTAL ITEM 20.4---&gt;</t>
  </si>
  <si>
    <t>21.0</t>
  </si>
  <si>
    <t>21.1</t>
  </si>
  <si>
    <t>21.1.1</t>
  </si>
  <si>
    <t>21.1.2</t>
  </si>
  <si>
    <t>21.2</t>
  </si>
  <si>
    <t>21.2.1</t>
  </si>
  <si>
    <t>21.2.2</t>
  </si>
  <si>
    <t>21.2.3</t>
  </si>
  <si>
    <t>21.2.4</t>
  </si>
  <si>
    <t>21.2.5</t>
  </si>
  <si>
    <t>21.2.6</t>
  </si>
  <si>
    <t>21.2.7</t>
  </si>
  <si>
    <t>21.2.8</t>
  </si>
  <si>
    <t>21.2.9</t>
  </si>
  <si>
    <t>21.2.10</t>
  </si>
  <si>
    <t>21.2.11</t>
  </si>
  <si>
    <t>21.2.12</t>
  </si>
  <si>
    <t>21.2.13</t>
  </si>
  <si>
    <t>21.2.14</t>
  </si>
  <si>
    <t>21.2.15</t>
  </si>
  <si>
    <t>21.3</t>
  </si>
  <si>
    <t>21.3.1</t>
  </si>
  <si>
    <t>21.3.2</t>
  </si>
  <si>
    <t>21.3.3</t>
  </si>
  <si>
    <t>21.3.4</t>
  </si>
  <si>
    <t>21.3.5</t>
  </si>
  <si>
    <t>21.3.6</t>
  </si>
  <si>
    <t>21.3.7</t>
  </si>
  <si>
    <t>21.3.8</t>
  </si>
  <si>
    <t>21.3.9</t>
  </si>
  <si>
    <t>21.3.10</t>
  </si>
  <si>
    <t>21.3.11</t>
  </si>
  <si>
    <t>21.3.12</t>
  </si>
  <si>
    <t>21.3.13</t>
  </si>
  <si>
    <t>21.3.14</t>
  </si>
  <si>
    <t>21.3.15</t>
  </si>
  <si>
    <t>21.3.16</t>
  </si>
  <si>
    <t>21.3.17</t>
  </si>
  <si>
    <t>21.3.18</t>
  </si>
  <si>
    <t>21.3.19</t>
  </si>
  <si>
    <t>21.3.20</t>
  </si>
  <si>
    <t>21.3.21</t>
  </si>
  <si>
    <t>21.3.22</t>
  </si>
  <si>
    <t>21.3.23</t>
  </si>
  <si>
    <t>21.3.24</t>
  </si>
  <si>
    <t>21.3.25</t>
  </si>
  <si>
    <t>21.4</t>
  </si>
  <si>
    <t>TOTAL ITEM 21.1 ---&gt;</t>
  </si>
  <si>
    <t>TOTAL ITEM 21.2---&gt;</t>
  </si>
  <si>
    <t>22.2.2</t>
  </si>
  <si>
    <t>22.2.3</t>
  </si>
  <si>
    <t>22.2.4</t>
  </si>
  <si>
    <t>22.2.5</t>
  </si>
  <si>
    <t>22.2.6</t>
  </si>
  <si>
    <t>22.2.7</t>
  </si>
  <si>
    <t>22.2.8</t>
  </si>
  <si>
    <t>22.2.9</t>
  </si>
  <si>
    <t>22.2.10</t>
  </si>
  <si>
    <t>22.2.11</t>
  </si>
  <si>
    <t>22.2.12</t>
  </si>
  <si>
    <t>22.2.13</t>
  </si>
  <si>
    <t>22.2.14</t>
  </si>
  <si>
    <t>22.2.15</t>
  </si>
  <si>
    <t>22.2.16</t>
  </si>
  <si>
    <t>22.2.17</t>
  </si>
  <si>
    <t>22.3.6</t>
  </si>
  <si>
    <t>22.3.7</t>
  </si>
  <si>
    <t>22.3.8</t>
  </si>
  <si>
    <t>22.3.9</t>
  </si>
  <si>
    <t>22.3.10</t>
  </si>
  <si>
    <t>22.3.11</t>
  </si>
  <si>
    <t>22.3.12</t>
  </si>
  <si>
    <t>22.3.13</t>
  </si>
  <si>
    <t>22.3.14</t>
  </si>
  <si>
    <t>22.3.15</t>
  </si>
  <si>
    <t>22.3.16</t>
  </si>
  <si>
    <t>22.3.17</t>
  </si>
  <si>
    <t>22.3.18</t>
  </si>
  <si>
    <t>22.3.19</t>
  </si>
  <si>
    <t>22.3.20</t>
  </si>
  <si>
    <t>22.3.21</t>
  </si>
  <si>
    <t>22.3.22</t>
  </si>
  <si>
    <t>22.3.23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</si>
  <si>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</si>
  <si>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</si>
  <si>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</si>
  <si>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</si>
  <si>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</si>
  <si>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</si>
  <si>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</si>
  <si>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</si>
  <si>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</si>
  <si>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</si>
  <si>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</si>
  <si>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</si>
  <si>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</si>
  <si>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23.2.13</t>
  </si>
  <si>
    <t>23.2.14</t>
  </si>
  <si>
    <t>23.2.15</t>
  </si>
  <si>
    <t>23.2.16</t>
  </si>
  <si>
    <t>23.2.17</t>
  </si>
  <si>
    <t>23.3</t>
  </si>
  <si>
    <t>23.3.1</t>
  </si>
  <si>
    <t>23.3.2</t>
  </si>
  <si>
    <t>23.3.3</t>
  </si>
  <si>
    <t>23.3.4</t>
  </si>
  <si>
    <t>23.3.5</t>
  </si>
  <si>
    <t>23.3.6</t>
  </si>
  <si>
    <t>23.3.7</t>
  </si>
  <si>
    <t>23.3.8</t>
  </si>
  <si>
    <t>23.3.9</t>
  </si>
  <si>
    <t>23.3.10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</si>
  <si>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</si>
  <si>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</si>
  <si>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</si>
  <si>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</si>
  <si>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</si>
  <si>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</si>
  <si>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</si>
  <si>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</si>
  <si>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23.3.19</t>
  </si>
  <si>
    <t>23.3.20</t>
  </si>
  <si>
    <t>23.3.21</t>
  </si>
  <si>
    <t>23.3.22</t>
  </si>
  <si>
    <t>23.3.23</t>
  </si>
  <si>
    <t>23.3.24</t>
  </si>
  <si>
    <t>23.3.25</t>
  </si>
  <si>
    <t>23.3.26</t>
  </si>
  <si>
    <t>TOTAL ITEM 23.1 ---&gt;</t>
  </si>
  <si>
    <t>TOTAL ITEM 23.2 ---&gt;</t>
  </si>
  <si>
    <t>TOTAL ITEM 23.3 ---&gt;</t>
  </si>
  <si>
    <t>TOTAL ITEM 23.4 ---&gt;</t>
  </si>
  <si>
    <t>24.0</t>
  </si>
  <si>
    <t>24.1</t>
  </si>
  <si>
    <t>24.1.1</t>
  </si>
  <si>
    <t>24.1.2</t>
  </si>
  <si>
    <t>24.2</t>
  </si>
  <si>
    <t>24.2.1</t>
  </si>
  <si>
    <t>24.2.2</t>
  </si>
  <si>
    <t>24.2.3</t>
  </si>
  <si>
    <t>24.2.4</t>
  </si>
  <si>
    <t>24.2.5</t>
  </si>
  <si>
    <t>24.2.6</t>
  </si>
  <si>
    <t>24.2.7</t>
  </si>
  <si>
    <t>24.2.8</t>
  </si>
  <si>
    <t>24.2.9</t>
  </si>
  <si>
    <t>24.2.10</t>
  </si>
  <si>
    <t>24.2.11</t>
  </si>
  <si>
    <t>24.2.12</t>
  </si>
  <si>
    <t>24.2.13</t>
  </si>
  <si>
    <t>24.2.14</t>
  </si>
  <si>
    <t>24.2.15</t>
  </si>
  <si>
    <t>24.2.16</t>
  </si>
  <si>
    <t>24.2.17</t>
  </si>
  <si>
    <t>24.2.18</t>
  </si>
  <si>
    <t>24.3</t>
  </si>
  <si>
    <t>24.3.1</t>
  </si>
  <si>
    <t>24.3.2</t>
  </si>
  <si>
    <t>24.3.3</t>
  </si>
  <si>
    <t>24.3.4</t>
  </si>
  <si>
    <t>24.3.5</t>
  </si>
  <si>
    <t>24.3.6</t>
  </si>
  <si>
    <t>24.3.7</t>
  </si>
  <si>
    <t>24.3.8</t>
  </si>
  <si>
    <t>24.3.9</t>
  </si>
  <si>
    <t>24.3.10</t>
  </si>
  <si>
    <t>24.3.11</t>
  </si>
  <si>
    <t>24.3.12</t>
  </si>
  <si>
    <t>24.3.13</t>
  </si>
  <si>
    <t>24.3.14</t>
  </si>
  <si>
    <t>24.3.15</t>
  </si>
  <si>
    <t>24.3.16</t>
  </si>
  <si>
    <t>24.3.17</t>
  </si>
  <si>
    <t>24.3.18</t>
  </si>
  <si>
    <t>24.3.19</t>
  </si>
  <si>
    <t>24.3.20</t>
  </si>
  <si>
    <t>24.3.21</t>
  </si>
  <si>
    <t>24.3.22</t>
  </si>
  <si>
    <t>24.3.23</t>
  </si>
  <si>
    <t>24.3.24</t>
  </si>
  <si>
    <t>24.3.25</t>
  </si>
  <si>
    <t>24.3.26</t>
  </si>
  <si>
    <t>24.3.27</t>
  </si>
  <si>
    <t>24.3.28</t>
  </si>
  <si>
    <t>24.4</t>
  </si>
  <si>
    <t>24.4.1</t>
  </si>
  <si>
    <t>TOTAL ITEM 24.1 ---&gt;</t>
  </si>
  <si>
    <t>TOTAL ITEM 24.2 ---&gt;</t>
  </si>
  <si>
    <t>TOTAL ITEM 24.3 ---&gt;</t>
  </si>
  <si>
    <t>TOTAL ITEM 24.4 ---&gt;</t>
  </si>
  <si>
    <t>INSTALAÇÃO DE AR CONDICIONADO, SISTEMA SPLIT, CONTEMPLANDO SUPORTE E MÃO DE OBRA</t>
  </si>
  <si>
    <t>SUPORTE MAO-FRANCESA EM ACO, ABAS IGUAIS 40 CM, CAPACIDADE MINIMA 70 KG, BRANCO</t>
  </si>
  <si>
    <t>MECÂNICO DE REFRIGERAÇÃO COM ENCARGOS COMPLEMENTARES</t>
  </si>
  <si>
    <t>1.2.21</t>
  </si>
  <si>
    <t>5.2.19</t>
  </si>
  <si>
    <t>6.2.19</t>
  </si>
  <si>
    <t>7.2.17</t>
  </si>
  <si>
    <t>9.2.21</t>
  </si>
  <si>
    <t>10.2.16</t>
  </si>
  <si>
    <t>11.2.16</t>
  </si>
  <si>
    <t>12.2.19</t>
  </si>
  <si>
    <t>13.2.19</t>
  </si>
  <si>
    <t>14.2.18</t>
  </si>
  <si>
    <t>15.2.18</t>
  </si>
  <si>
    <t>16.2.18</t>
  </si>
  <si>
    <t>17.2.21</t>
  </si>
  <si>
    <t>18.2.18</t>
  </si>
  <si>
    <t>19.2.19</t>
  </si>
  <si>
    <t>21.2.16</t>
  </si>
  <si>
    <t>22.2.18</t>
  </si>
  <si>
    <t>23.2.18</t>
  </si>
  <si>
    <t>3.1.1</t>
  </si>
  <si>
    <t>3.1.2</t>
  </si>
  <si>
    <t>3.2.19</t>
  </si>
  <si>
    <t>4.2.19</t>
  </si>
  <si>
    <t>20.2.16</t>
  </si>
  <si>
    <t>24.2.19</t>
  </si>
  <si>
    <t>Forro em painéis de gesso acartonado, espessura de 12,5mm, fixo</t>
  </si>
  <si>
    <t>22.02.030</t>
  </si>
  <si>
    <t>1.2.22</t>
  </si>
  <si>
    <t>2.2.19</t>
  </si>
  <si>
    <t>2.2.20</t>
  </si>
  <si>
    <t>3.2.20</t>
  </si>
  <si>
    <t>4.2.20</t>
  </si>
  <si>
    <t>5.2.20</t>
  </si>
  <si>
    <t>6.2.20</t>
  </si>
  <si>
    <t>7.2.18</t>
  </si>
  <si>
    <t>8.2.16</t>
  </si>
  <si>
    <t>8.2.17</t>
  </si>
  <si>
    <t>9.2.22</t>
  </si>
  <si>
    <t>10.2.17</t>
  </si>
  <si>
    <t>11.2.17</t>
  </si>
  <si>
    <t>12.2.20</t>
  </si>
  <si>
    <t>13.2.20</t>
  </si>
  <si>
    <t>14.2.19</t>
  </si>
  <si>
    <t>15.2.19</t>
  </si>
  <si>
    <t>16.2.19</t>
  </si>
  <si>
    <t>17.2.22</t>
  </si>
  <si>
    <t>18.2.19</t>
  </si>
  <si>
    <t>19.2.20</t>
  </si>
  <si>
    <t>20.2.17</t>
  </si>
  <si>
    <t>21.2.17</t>
  </si>
  <si>
    <t>22.2.19</t>
  </si>
  <si>
    <t>23.2.19</t>
  </si>
  <si>
    <t>24.2.20</t>
  </si>
  <si>
    <t>150 DIAS</t>
  </si>
  <si>
    <t>180 DIAS</t>
  </si>
  <si>
    <t>37.06.014</t>
  </si>
  <si>
    <t>TABELA DE COMPOSIÇÕES</t>
  </si>
  <si>
    <t>210 DIAS</t>
  </si>
  <si>
    <t>240 DIAS</t>
  </si>
  <si>
    <t xml:space="preserve">CUSTO UNITARIO </t>
  </si>
  <si>
    <t>TOTAL GERAL PARA TODAS AS ESCOLAS -----&gt;</t>
  </si>
  <si>
    <t>09.82.033</t>
  </si>
  <si>
    <t>VALOR OBRAS R$</t>
  </si>
  <si>
    <t>VALOR ENTRADAS DE ENERGIA R$</t>
  </si>
  <si>
    <t>TOTAL R$</t>
  </si>
  <si>
    <t>SINAPI SP - 08/2023</t>
  </si>
  <si>
    <t xml:space="preserve">SINAPI SP - 08/2023 </t>
  </si>
  <si>
    <t>CDHU - BOLETIM 191</t>
  </si>
  <si>
    <t>FDE - 07/2023</t>
  </si>
  <si>
    <t xml:space="preserve"> SINAPI SP - 08/2023</t>
  </si>
  <si>
    <t>CDHU - BOLETIM 191 + FDE - 07/2023 + SINAPI SP - 08/2023</t>
  </si>
  <si>
    <t>COTAÇÃO DE MERCADO / SINAPI SP - 08/2023</t>
  </si>
  <si>
    <t>FDE - 07/2023                              Boletim CDHU 191 - 08/2023
SINAPI 08/2023</t>
  </si>
  <si>
    <t>FDE - 07/2023 + SINAPI SP - 08/2023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</si>
</sst>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&quot;R$ &quot;#,##0.00_);[Red]&quot;(R$ &quot;#,##0.00\)"/>
    <numFmt numFmtId="166" formatCode="_([$€-2]* #,##0.00_);_([$€-2]* \(#,##0.00\);_([$€-2]* \-??_)"/>
    <numFmt numFmtId="167" formatCode="_(&quot;R$ &quot;* #,##0.00_);_(&quot;R$ &quot;* \(#,##0.00\);_(&quot;R$ &quot;* \-??_);_(@_)"/>
    <numFmt numFmtId="168" formatCode="_-&quot;R$ &quot;* #,##0.00_-;&quot;-R$ &quot;* #,##0.00_-;_-&quot;R$ &quot;* \-??_-;_-@_-"/>
    <numFmt numFmtId="169" formatCode="_(* #,##0.00_);_(* \(#,##0.00\);_(* \-??_);_(@_)"/>
    <numFmt numFmtId="170" formatCode="&quot;R$ &quot;#,##0_);&quot;(R$ &quot;#,##0\)"/>
    <numFmt numFmtId="171" formatCode="[$-F400]h:mm:ss\ AM/PM"/>
    <numFmt numFmtId="172" formatCode="_(* #,##0.00_);_(* \(#,##0.00\);_(* &quot;-&quot;??_);_(@_)"/>
    <numFmt numFmtId="173" formatCode="_(* #,##0.000_);_(* \(#,##0.000\);_(* &quot;-&quot;??_);_(@_)"/>
    <numFmt numFmtId="174" formatCode="&quot;R$ &quot;#,##0.00"/>
    <numFmt numFmtId="175" formatCode="#,"/>
    <numFmt numFmtId="176" formatCode="_-&quot;R$&quot;\ * #,##0.000_-;\-&quot;R$&quot;\ * #,##0.000_-;_-&quot;R$&quot;\ * &quot;-&quot;??_-;_-@_-"/>
    <numFmt numFmtId="177" formatCode="0.0000"/>
    <numFmt numFmtId="178" formatCode="0.000%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ityBlueprint"/>
      <charset val="2"/>
    </font>
    <font>
      <b/>
      <sz val="12"/>
      <name val="CityBlueprint"/>
      <charset val="2"/>
    </font>
    <font>
      <b/>
      <sz val="10"/>
      <name val="CityBlueprint"/>
      <charset val="2"/>
    </font>
    <font>
      <b/>
      <sz val="11"/>
      <name val="CityBlueprint"/>
      <charset val="2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witzerland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Bookman Old Style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24"/>
      <color theme="1"/>
      <name val="Arial Black"/>
      <family val="2"/>
    </font>
    <font>
      <b/>
      <sz val="16"/>
      <color theme="1"/>
      <name val="Arial Black"/>
      <family val="2"/>
    </font>
    <font>
      <sz val="11"/>
      <color indexed="8"/>
      <name val="Calibri"/>
      <family val="2"/>
      <scheme val="minor"/>
    </font>
    <font>
      <b/>
      <sz val="14"/>
      <color theme="1"/>
      <name val="Arial Black"/>
      <family val="2"/>
    </font>
    <font>
      <b/>
      <i/>
      <sz val="11"/>
      <color rgb="FF0070C0"/>
      <name val="Calibri"/>
      <family val="2"/>
      <scheme val="minor"/>
    </font>
    <font>
      <b/>
      <sz val="10"/>
      <color theme="1"/>
      <name val="Arial Black"/>
      <family val="2"/>
    </font>
  </fonts>
  <fills count="6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165" fontId="7" fillId="0" borderId="0"/>
    <xf numFmtId="166" fontId="5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ill="0" applyBorder="0" applyAlignment="0" applyProtection="0"/>
    <xf numFmtId="0" fontId="9" fillId="0" borderId="0"/>
    <xf numFmtId="0" fontId="9" fillId="0" borderId="0"/>
    <xf numFmtId="4" fontId="5" fillId="0" borderId="0"/>
    <xf numFmtId="4" fontId="5" fillId="0" borderId="0"/>
    <xf numFmtId="0" fontId="5" fillId="0" borderId="0"/>
    <xf numFmtId="4" fontId="5" fillId="0" borderId="0"/>
    <xf numFmtId="0" fontId="9" fillId="0" borderId="0"/>
    <xf numFmtId="0" fontId="10" fillId="0" borderId="0"/>
    <xf numFmtId="0" fontId="5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9" fontId="5" fillId="0" borderId="0" applyFont="0" applyFill="0" applyBorder="0" applyAlignment="0" applyProtection="0"/>
    <xf numFmtId="171" fontId="1" fillId="0" borderId="0"/>
    <xf numFmtId="0" fontId="1" fillId="0" borderId="0"/>
    <xf numFmtId="172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2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48" fillId="0" borderId="76" applyNumberFormat="0" applyFill="0" applyAlignment="0" applyProtection="0"/>
    <xf numFmtId="0" fontId="49" fillId="0" borderId="77" applyNumberFormat="0" applyFill="0" applyAlignment="0" applyProtection="0"/>
    <xf numFmtId="0" fontId="50" fillId="0" borderId="78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8" borderId="79" applyNumberFormat="0" applyAlignment="0" applyProtection="0"/>
    <xf numFmtId="0" fontId="53" fillId="9" borderId="80" applyNumberFormat="0" applyAlignment="0" applyProtection="0"/>
    <xf numFmtId="0" fontId="54" fillId="9" borderId="79" applyNumberFormat="0" applyAlignment="0" applyProtection="0"/>
    <xf numFmtId="0" fontId="55" fillId="0" borderId="81" applyNumberFormat="0" applyFill="0" applyAlignment="0" applyProtection="0"/>
    <xf numFmtId="0" fontId="56" fillId="10" borderId="8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84" applyNumberFormat="0" applyFill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0" borderId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38" borderId="0" applyNumberFormat="0" applyBorder="0" applyAlignment="0" applyProtection="0"/>
    <xf numFmtId="0" fontId="64" fillId="50" borderId="85" applyNumberFormat="0" applyAlignment="0" applyProtection="0"/>
    <xf numFmtId="0" fontId="65" fillId="51" borderId="86" applyNumberFormat="0" applyAlignment="0" applyProtection="0"/>
    <xf numFmtId="0" fontId="66" fillId="0" borderId="87" applyNumberFormat="0" applyFill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5" borderId="0" applyNumberFormat="0" applyBorder="0" applyAlignment="0" applyProtection="0"/>
    <xf numFmtId="0" fontId="67" fillId="41" borderId="85" applyNumberFormat="0" applyAlignment="0" applyProtection="0"/>
    <xf numFmtId="0" fontId="68" fillId="37" borderId="0" applyNumberFormat="0" applyBorder="0" applyAlignment="0" applyProtection="0"/>
    <xf numFmtId="3" fontId="5" fillId="0" borderId="0"/>
    <xf numFmtId="0" fontId="69" fillId="56" borderId="0" applyNumberFormat="0" applyBorder="0" applyAlignment="0" applyProtection="0"/>
    <xf numFmtId="0" fontId="78" fillId="0" borderId="0"/>
    <xf numFmtId="0" fontId="78" fillId="0" borderId="0"/>
    <xf numFmtId="0" fontId="60" fillId="0" borderId="0"/>
    <xf numFmtId="0" fontId="81" fillId="0" borderId="0"/>
    <xf numFmtId="0" fontId="78" fillId="0" borderId="0"/>
    <xf numFmtId="0" fontId="8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1" fillId="0" borderId="0"/>
    <xf numFmtId="0" fontId="5" fillId="57" borderId="88" applyNumberFormat="0" applyAlignment="0" applyProtection="0"/>
    <xf numFmtId="0" fontId="1" fillId="11" borderId="83" applyNumberFormat="0" applyFont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70" fillId="50" borderId="89" applyNumberFormat="0" applyAlignment="0" applyProtection="0"/>
    <xf numFmtId="175" fontId="79" fillId="0" borderId="0">
      <protection locked="0"/>
    </xf>
    <xf numFmtId="169" fontId="9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9" fontId="60" fillId="0" borderId="0" applyFill="0" applyBorder="0" applyAlignment="0" applyProtection="0"/>
    <xf numFmtId="0" fontId="80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90" applyNumberFormat="0" applyFill="0" applyAlignment="0" applyProtection="0"/>
    <xf numFmtId="0" fontId="73" fillId="0" borderId="0" applyNumberFormat="0" applyFill="0" applyBorder="0" applyAlignment="0" applyProtection="0"/>
    <xf numFmtId="0" fontId="75" fillId="0" borderId="91" applyNumberFormat="0" applyFill="0" applyAlignment="0" applyProtection="0"/>
    <xf numFmtId="0" fontId="76" fillId="0" borderId="92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93" applyNumberFormat="0" applyFill="0" applyAlignment="0" applyProtection="0"/>
    <xf numFmtId="0" fontId="9" fillId="0" borderId="0"/>
    <xf numFmtId="171" fontId="5" fillId="0" borderId="0"/>
  </cellStyleXfs>
  <cellXfs count="7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vertical="center"/>
    </xf>
    <xf numFmtId="44" fontId="0" fillId="0" borderId="0" xfId="1" applyFont="1"/>
    <xf numFmtId="0" fontId="2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5" fillId="0" borderId="5" xfId="22" applyNumberFormat="1" applyFont="1" applyBorder="1" applyAlignment="1">
      <alignment horizontal="center" vertical="center"/>
    </xf>
    <xf numFmtId="171" fontId="5" fillId="0" borderId="6" xfId="22" applyNumberFormat="1" applyFont="1" applyBorder="1" applyAlignment="1">
      <alignment horizontal="center" vertical="center"/>
    </xf>
    <xf numFmtId="171" fontId="5" fillId="0" borderId="6" xfId="22" applyNumberFormat="1" applyFont="1" applyBorder="1" applyAlignment="1">
      <alignment vertical="center"/>
    </xf>
    <xf numFmtId="171" fontId="5" fillId="0" borderId="0" xfId="22" applyNumberFormat="1" applyFont="1"/>
    <xf numFmtId="2" fontId="5" fillId="0" borderId="0" xfId="22" applyNumberFormat="1" applyFont="1"/>
    <xf numFmtId="171" fontId="17" fillId="0" borderId="3" xfId="22" applyNumberFormat="1" applyFont="1" applyFill="1" applyBorder="1" applyAlignment="1">
      <alignment horizontal="left" vertical="center" wrapText="1"/>
    </xf>
    <xf numFmtId="171" fontId="17" fillId="0" borderId="3" xfId="22" applyNumberFormat="1" applyFont="1" applyFill="1" applyBorder="1" applyAlignment="1">
      <alignment vertical="center" wrapText="1"/>
    </xf>
    <xf numFmtId="10" fontId="17" fillId="0" borderId="3" xfId="49" applyNumberFormat="1" applyFont="1" applyFill="1" applyBorder="1" applyAlignment="1">
      <alignment vertical="center" wrapText="1"/>
    </xf>
    <xf numFmtId="171" fontId="17" fillId="0" borderId="2" xfId="22" applyNumberFormat="1" applyFont="1" applyFill="1" applyBorder="1" applyAlignment="1">
      <alignment horizontal="left" vertical="center" wrapText="1"/>
    </xf>
    <xf numFmtId="171" fontId="17" fillId="0" borderId="2" xfId="22" applyNumberFormat="1" applyFont="1" applyFill="1" applyBorder="1" applyAlignment="1">
      <alignment vertical="center" wrapText="1"/>
    </xf>
    <xf numFmtId="10" fontId="17" fillId="0" borderId="2" xfId="49" applyNumberFormat="1" applyFont="1" applyFill="1" applyBorder="1" applyAlignment="1">
      <alignment vertical="center" wrapText="1"/>
    </xf>
    <xf numFmtId="171" fontId="17" fillId="0" borderId="8" xfId="22" applyNumberFormat="1" applyFont="1" applyFill="1" applyBorder="1" applyAlignment="1">
      <alignment horizontal="left" vertical="center" wrapText="1"/>
    </xf>
    <xf numFmtId="171" fontId="18" fillId="0" borderId="4" xfId="22" applyNumberFormat="1" applyFont="1" applyFill="1" applyBorder="1" applyAlignment="1">
      <alignment horizontal="center" vertical="center" wrapText="1"/>
    </xf>
    <xf numFmtId="171" fontId="17" fillId="0" borderId="4" xfId="22" applyNumberFormat="1" applyFont="1" applyFill="1" applyBorder="1" applyAlignment="1">
      <alignment vertical="center" wrapText="1"/>
    </xf>
    <xf numFmtId="10" fontId="17" fillId="0" borderId="4" xfId="49" applyNumberFormat="1" applyFont="1" applyFill="1" applyBorder="1" applyAlignment="1">
      <alignment vertical="center" wrapText="1"/>
    </xf>
    <xf numFmtId="171" fontId="13" fillId="0" borderId="0" xfId="22" applyNumberFormat="1" applyFont="1" applyBorder="1" applyAlignment="1">
      <alignment horizontal="center" vertical="center" wrapText="1"/>
    </xf>
    <xf numFmtId="171" fontId="13" fillId="4" borderId="20" xfId="22" applyNumberFormat="1" applyFont="1" applyFill="1" applyBorder="1" applyAlignment="1">
      <alignment horizontal="center" vertical="center"/>
    </xf>
    <xf numFmtId="171" fontId="13" fillId="4" borderId="20" xfId="22" applyNumberFormat="1" applyFont="1" applyFill="1" applyBorder="1" applyAlignment="1">
      <alignment horizontal="center" vertical="center" wrapText="1"/>
    </xf>
    <xf numFmtId="4" fontId="13" fillId="4" borderId="20" xfId="22" applyNumberFormat="1" applyFont="1" applyFill="1" applyBorder="1" applyAlignment="1">
      <alignment horizontal="center" vertical="center"/>
    </xf>
    <xf numFmtId="1" fontId="13" fillId="0" borderId="1" xfId="22" applyNumberFormat="1" applyFont="1" applyBorder="1" applyAlignment="1">
      <alignment horizontal="center" vertical="center" wrapText="1"/>
    </xf>
    <xf numFmtId="14" fontId="13" fillId="0" borderId="1" xfId="22" applyNumberFormat="1" applyFont="1" applyBorder="1" applyAlignment="1">
      <alignment horizontal="center" vertical="center" wrapText="1"/>
    </xf>
    <xf numFmtId="2" fontId="20" fillId="0" borderId="0" xfId="50" applyNumberFormat="1" applyFont="1" applyAlignment="1">
      <alignment vertical="center"/>
    </xf>
    <xf numFmtId="171" fontId="20" fillId="0" borderId="0" xfId="50" applyFont="1" applyAlignment="1">
      <alignment vertical="center"/>
    </xf>
    <xf numFmtId="1" fontId="20" fillId="0" borderId="1" xfId="50" applyNumberFormat="1" applyFont="1" applyBorder="1" applyAlignment="1">
      <alignment horizontal="center" vertical="center"/>
    </xf>
    <xf numFmtId="0" fontId="21" fillId="0" borderId="1" xfId="51" applyFont="1" applyBorder="1" applyAlignment="1">
      <alignment vertical="center" wrapText="1"/>
    </xf>
    <xf numFmtId="172" fontId="20" fillId="0" borderId="1" xfId="52" applyFont="1" applyBorder="1" applyAlignment="1">
      <alignment vertical="center"/>
    </xf>
    <xf numFmtId="2" fontId="20" fillId="0" borderId="0" xfId="53" applyNumberFormat="1" applyFont="1" applyAlignment="1">
      <alignment vertical="center"/>
    </xf>
    <xf numFmtId="171" fontId="21" fillId="0" borderId="1" xfId="50" applyFont="1" applyBorder="1" applyAlignment="1">
      <alignment vertical="center" wrapText="1"/>
    </xf>
    <xf numFmtId="171" fontId="20" fillId="0" borderId="1" xfId="50" applyFont="1" applyBorder="1" applyAlignment="1">
      <alignment vertical="center" wrapText="1"/>
    </xf>
    <xf numFmtId="171" fontId="19" fillId="0" borderId="17" xfId="50" applyFont="1" applyBorder="1" applyAlignment="1">
      <alignment horizontal="center" vertical="center"/>
    </xf>
    <xf numFmtId="1" fontId="20" fillId="0" borderId="1" xfId="50" applyNumberFormat="1" applyFont="1" applyBorder="1" applyAlignment="1">
      <alignment horizontal="center" vertical="center" wrapText="1"/>
    </xf>
    <xf numFmtId="173" fontId="20" fillId="0" borderId="1" xfId="52" applyNumberFormat="1" applyFont="1" applyBorder="1" applyAlignment="1">
      <alignment vertical="center"/>
    </xf>
    <xf numFmtId="171" fontId="18" fillId="5" borderId="1" xfId="54" applyFont="1" applyFill="1" applyBorder="1" applyAlignment="1">
      <alignment horizontal="justify"/>
    </xf>
    <xf numFmtId="0" fontId="20" fillId="0" borderId="1" xfId="51" applyFont="1" applyBorder="1" applyAlignment="1">
      <alignment vertical="center" wrapText="1"/>
    </xf>
    <xf numFmtId="1" fontId="23" fillId="0" borderId="1" xfId="54" applyNumberFormat="1" applyFont="1" applyBorder="1" applyAlignment="1">
      <alignment horizontal="center" vertical="center"/>
    </xf>
    <xf numFmtId="171" fontId="24" fillId="0" borderId="1" xfId="54" applyFont="1" applyBorder="1" applyAlignment="1">
      <alignment vertical="center" wrapText="1"/>
    </xf>
    <xf numFmtId="172" fontId="23" fillId="0" borderId="1" xfId="52" applyFont="1" applyBorder="1" applyAlignment="1">
      <alignment vertical="center"/>
    </xf>
    <xf numFmtId="2" fontId="23" fillId="0" borderId="0" xfId="54" applyNumberFormat="1" applyFont="1" applyAlignment="1">
      <alignment vertical="center"/>
    </xf>
    <xf numFmtId="171" fontId="23" fillId="0" borderId="0" xfId="54" applyFont="1" applyAlignment="1">
      <alignment vertical="center"/>
    </xf>
    <xf numFmtId="171" fontId="20" fillId="0" borderId="0" xfId="50" applyFont="1" applyAlignment="1">
      <alignment vertical="center" wrapText="1"/>
    </xf>
    <xf numFmtId="0" fontId="25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0" xfId="55" applyFont="1"/>
    <xf numFmtId="4" fontId="17" fillId="0" borderId="5" xfId="55" applyNumberFormat="1" applyFont="1" applyBorder="1" applyAlignment="1"/>
    <xf numFmtId="4" fontId="17" fillId="0" borderId="10" xfId="55" applyNumberFormat="1" applyFont="1" applyBorder="1" applyAlignment="1"/>
    <xf numFmtId="4" fontId="5" fillId="0" borderId="0" xfId="55" applyNumberFormat="1" applyFont="1"/>
    <xf numFmtId="14" fontId="34" fillId="5" borderId="43" xfId="55" applyNumberFormat="1" applyFont="1" applyFill="1" applyBorder="1" applyAlignment="1">
      <alignment horizontal="center"/>
    </xf>
    <xf numFmtId="4" fontId="34" fillId="5" borderId="44" xfId="55" applyNumberFormat="1" applyFont="1" applyFill="1" applyBorder="1" applyAlignment="1">
      <alignment horizontal="left"/>
    </xf>
    <xf numFmtId="10" fontId="34" fillId="5" borderId="44" xfId="56" applyNumberFormat="1" applyFont="1" applyFill="1" applyBorder="1" applyAlignment="1">
      <alignment horizontal="center" vertical="center"/>
    </xf>
    <xf numFmtId="10" fontId="34" fillId="5" borderId="45" xfId="56" applyNumberFormat="1" applyFont="1" applyFill="1" applyBorder="1" applyAlignment="1">
      <alignment horizontal="center" vertical="center"/>
    </xf>
    <xf numFmtId="174" fontId="34" fillId="0" borderId="0" xfId="55" applyNumberFormat="1" applyFont="1"/>
    <xf numFmtId="0" fontId="34" fillId="0" borderId="0" xfId="55" applyFont="1"/>
    <xf numFmtId="4" fontId="34" fillId="0" borderId="0" xfId="55" applyNumberFormat="1" applyFont="1"/>
    <xf numFmtId="174" fontId="34" fillId="0" borderId="0" xfId="55" applyNumberFormat="1" applyFont="1" applyBorder="1"/>
    <xf numFmtId="0" fontId="34" fillId="0" borderId="0" xfId="55" applyFont="1" applyBorder="1"/>
    <xf numFmtId="4" fontId="34" fillId="0" borderId="0" xfId="55" applyNumberFormat="1" applyFont="1" applyBorder="1"/>
    <xf numFmtId="174" fontId="5" fillId="0" borderId="0" xfId="55" applyNumberFormat="1" applyFont="1"/>
    <xf numFmtId="4" fontId="5" fillId="0" borderId="0" xfId="55" applyNumberFormat="1" applyFont="1" applyBorder="1"/>
    <xf numFmtId="0" fontId="5" fillId="0" borderId="0" xfId="55" applyFont="1" applyBorder="1"/>
    <xf numFmtId="4" fontId="34" fillId="5" borderId="44" xfId="55" applyNumberFormat="1" applyFont="1" applyFill="1" applyBorder="1" applyAlignment="1">
      <alignment horizontal="left" vertical="center" wrapText="1"/>
    </xf>
    <xf numFmtId="10" fontId="34" fillId="5" borderId="44" xfId="56" applyNumberFormat="1" applyFont="1" applyFill="1" applyBorder="1" applyAlignment="1">
      <alignment horizontal="center" wrapText="1"/>
    </xf>
    <xf numFmtId="174" fontId="34" fillId="5" borderId="0" xfId="55" applyNumberFormat="1" applyFont="1" applyFill="1" applyBorder="1" applyAlignment="1">
      <alignment horizontal="center"/>
    </xf>
    <xf numFmtId="4" fontId="34" fillId="5" borderId="44" xfId="55" applyNumberFormat="1" applyFont="1" applyFill="1" applyBorder="1" applyAlignment="1">
      <alignment horizontal="left" vertical="center"/>
    </xf>
    <xf numFmtId="4" fontId="34" fillId="5" borderId="0" xfId="55" applyNumberFormat="1" applyFont="1" applyFill="1" applyBorder="1" applyAlignment="1">
      <alignment horizontal="center" wrapText="1"/>
    </xf>
    <xf numFmtId="10" fontId="34" fillId="5" borderId="44" xfId="56" applyNumberFormat="1" applyFont="1" applyFill="1" applyBorder="1" applyAlignment="1">
      <alignment horizontal="center" vertical="center" wrapText="1"/>
    </xf>
    <xf numFmtId="10" fontId="35" fillId="5" borderId="21" xfId="55" applyNumberFormat="1" applyFont="1" applyFill="1" applyBorder="1" applyAlignment="1">
      <alignment horizontal="center" vertical="center"/>
    </xf>
    <xf numFmtId="0" fontId="5" fillId="0" borderId="0" xfId="55" applyFont="1" applyBorder="1" applyAlignment="1">
      <alignment horizontal="center"/>
    </xf>
    <xf numFmtId="0" fontId="18" fillId="0" borderId="0" xfId="55" applyFont="1" applyAlignment="1"/>
    <xf numFmtId="0" fontId="5" fillId="0" borderId="0" xfId="55" applyFont="1" applyAlignment="1">
      <alignment horizontal="center" vertical="top"/>
    </xf>
    <xf numFmtId="0" fontId="1" fillId="0" borderId="0" xfId="57"/>
    <xf numFmtId="0" fontId="17" fillId="0" borderId="7" xfId="23" applyFont="1" applyFill="1" applyBorder="1" applyAlignment="1">
      <alignment horizontal="left" vertical="center" wrapText="1"/>
    </xf>
    <xf numFmtId="0" fontId="17" fillId="0" borderId="4" xfId="23" applyFont="1" applyFill="1" applyBorder="1" applyAlignment="1">
      <alignment vertical="center" wrapText="1"/>
    </xf>
    <xf numFmtId="10" fontId="17" fillId="0" borderId="4" xfId="49" applyNumberFormat="1" applyFont="1" applyFill="1" applyBorder="1" applyAlignment="1">
      <alignment horizontal="center" vertical="center" wrapText="1"/>
    </xf>
    <xf numFmtId="10" fontId="35" fillId="0" borderId="49" xfId="49" applyNumberFormat="1" applyFont="1" applyFill="1" applyBorder="1" applyAlignment="1">
      <alignment vertical="center" wrapText="1"/>
    </xf>
    <xf numFmtId="0" fontId="36" fillId="0" borderId="10" xfId="55" applyFont="1" applyFill="1" applyBorder="1" applyAlignment="1">
      <alignment vertical="center" wrapText="1"/>
    </xf>
    <xf numFmtId="0" fontId="1" fillId="0" borderId="0" xfId="57" quotePrefix="1"/>
    <xf numFmtId="0" fontId="36" fillId="0" borderId="0" xfId="55" applyFont="1" applyFill="1" applyBorder="1" applyAlignment="1">
      <alignment horizontal="left" vertical="center" wrapText="1"/>
    </xf>
    <xf numFmtId="0" fontId="36" fillId="0" borderId="23" xfId="55" applyFont="1" applyFill="1" applyBorder="1" applyAlignment="1">
      <alignment horizontal="left" vertical="center" wrapText="1"/>
    </xf>
    <xf numFmtId="0" fontId="1" fillId="0" borderId="0" xfId="57" applyBorder="1"/>
    <xf numFmtId="0" fontId="1" fillId="0" borderId="7" xfId="57" applyBorder="1"/>
    <xf numFmtId="0" fontId="1" fillId="0" borderId="4" xfId="57" applyBorder="1"/>
    <xf numFmtId="0" fontId="1" fillId="0" borderId="49" xfId="57" applyBorder="1"/>
    <xf numFmtId="0" fontId="1" fillId="0" borderId="10" xfId="57" applyBorder="1"/>
    <xf numFmtId="0" fontId="1" fillId="0" borderId="23" xfId="57" applyBorder="1"/>
    <xf numFmtId="0" fontId="2" fillId="0" borderId="1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/>
    </xf>
    <xf numFmtId="0" fontId="1" fillId="0" borderId="0" xfId="57" applyFont="1" applyBorder="1"/>
    <xf numFmtId="10" fontId="4" fillId="0" borderId="0" xfId="49" quotePrefix="1" applyNumberFormat="1" applyFont="1" applyBorder="1" applyAlignment="1">
      <alignment horizontal="center" vertical="center"/>
    </xf>
    <xf numFmtId="10" fontId="40" fillId="0" borderId="23" xfId="49" quotePrefix="1" applyNumberFormat="1" applyFont="1" applyBorder="1" applyAlignment="1">
      <alignment horizontal="left"/>
    </xf>
    <xf numFmtId="0" fontId="1" fillId="0" borderId="0" xfId="57" applyFont="1" applyBorder="1" applyAlignment="1">
      <alignment vertical="center"/>
    </xf>
    <xf numFmtId="10" fontId="1" fillId="0" borderId="0" xfId="49" quotePrefix="1" applyNumberFormat="1" applyFont="1" applyBorder="1" applyAlignment="1">
      <alignment horizontal="center" vertical="center"/>
    </xf>
    <xf numFmtId="10" fontId="1" fillId="0" borderId="0" xfId="49" applyNumberFormat="1" applyFont="1" applyBorder="1" applyAlignment="1">
      <alignment horizontal="center" vertical="center"/>
    </xf>
    <xf numFmtId="0" fontId="1" fillId="0" borderId="24" xfId="57" applyBorder="1"/>
    <xf numFmtId="0" fontId="1" fillId="0" borderId="25" xfId="57" applyBorder="1"/>
    <xf numFmtId="0" fontId="1" fillId="0" borderId="26" xfId="57" applyBorder="1"/>
    <xf numFmtId="9" fontId="1" fillId="0" borderId="0" xfId="58" applyFont="1" applyBorder="1" applyAlignment="1">
      <alignment horizontal="center"/>
    </xf>
    <xf numFmtId="0" fontId="41" fillId="0" borderId="0" xfId="57" quotePrefix="1" applyFont="1" applyBorder="1" applyAlignment="1">
      <alignment horizontal="right"/>
    </xf>
    <xf numFmtId="44" fontId="1" fillId="0" borderId="0" xfId="57" applyNumberFormat="1" applyBorder="1" applyAlignment="1">
      <alignment horizontal="left"/>
    </xf>
    <xf numFmtId="9" fontId="1" fillId="0" borderId="0" xfId="58" applyFont="1" applyBorder="1"/>
    <xf numFmtId="0" fontId="1" fillId="0" borderId="0" xfId="57" applyBorder="1" applyAlignment="1">
      <alignment horizontal="left"/>
    </xf>
    <xf numFmtId="44" fontId="25" fillId="0" borderId="50" xfId="0" applyNumberFormat="1" applyFont="1" applyBorder="1" applyAlignment="1">
      <alignment horizontal="center"/>
    </xf>
    <xf numFmtId="10" fontId="25" fillId="0" borderId="50" xfId="0" applyNumberFormat="1" applyFont="1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57" applyFont="1" applyBorder="1"/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44" fontId="2" fillId="0" borderId="55" xfId="1" applyFont="1" applyBorder="1" applyAlignment="1">
      <alignment horizontal="center" vertical="center"/>
    </xf>
    <xf numFmtId="0" fontId="0" fillId="6" borderId="57" xfId="0" applyFill="1" applyBorder="1" applyAlignment="1">
      <alignment horizontal="left" vertical="center"/>
    </xf>
    <xf numFmtId="44" fontId="0" fillId="6" borderId="57" xfId="1" applyFont="1" applyFill="1" applyBorder="1" applyAlignment="1">
      <alignment vertical="center"/>
    </xf>
    <xf numFmtId="0" fontId="0" fillId="0" borderId="57" xfId="0" applyFill="1" applyBorder="1" applyAlignment="1">
      <alignment horizontal="left" vertical="center"/>
    </xf>
    <xf numFmtId="44" fontId="0" fillId="0" borderId="57" xfId="1" applyFont="1" applyFill="1" applyBorder="1" applyAlignment="1">
      <alignment vertical="center"/>
    </xf>
    <xf numFmtId="44" fontId="12" fillId="6" borderId="57" xfId="1" applyFont="1" applyFill="1" applyBorder="1" applyAlignment="1">
      <alignment vertical="center"/>
    </xf>
    <xf numFmtId="0" fontId="0" fillId="5" borderId="57" xfId="0" applyFill="1" applyBorder="1" applyAlignment="1">
      <alignment horizontal="left" vertical="center"/>
    </xf>
    <xf numFmtId="44" fontId="0" fillId="5" borderId="57" xfId="1" applyFont="1" applyFill="1" applyBorder="1" applyAlignment="1">
      <alignment vertical="center"/>
    </xf>
    <xf numFmtId="0" fontId="0" fillId="5" borderId="60" xfId="0" applyFill="1" applyBorder="1" applyAlignment="1">
      <alignment horizontal="left" vertical="center"/>
    </xf>
    <xf numFmtId="44" fontId="0" fillId="5" borderId="60" xfId="1" applyFont="1" applyFill="1" applyBorder="1" applyAlignment="1">
      <alignment vertical="center"/>
    </xf>
    <xf numFmtId="0" fontId="0" fillId="5" borderId="57" xfId="0" applyFill="1" applyBorder="1" applyAlignment="1">
      <alignment horizontal="left" vertical="center" wrapText="1"/>
    </xf>
    <xf numFmtId="10" fontId="25" fillId="5" borderId="0" xfId="49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1" fontId="19" fillId="0" borderId="1" xfId="50" applyFont="1" applyBorder="1" applyAlignment="1">
      <alignment horizontal="center" vertical="center"/>
    </xf>
    <xf numFmtId="171" fontId="19" fillId="0" borderId="1" xfId="50" applyFont="1" applyBorder="1" applyAlignment="1">
      <alignment vertical="center"/>
    </xf>
    <xf numFmtId="171" fontId="13" fillId="0" borderId="1" xfId="22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61" fillId="59" borderId="1" xfId="0" applyFont="1" applyFill="1" applyBorder="1" applyAlignment="1">
      <alignment vertical="center" wrapText="1"/>
    </xf>
    <xf numFmtId="0" fontId="61" fillId="59" borderId="1" xfId="0" applyFont="1" applyFill="1" applyBorder="1" applyAlignment="1" applyProtection="1">
      <alignment horizontal="center" vertical="center" wrapText="1"/>
    </xf>
    <xf numFmtId="3" fontId="61" fillId="59" borderId="1" xfId="0" applyNumberFormat="1" applyFont="1" applyFill="1" applyBorder="1" applyAlignment="1">
      <alignment horizontal="center" vertical="center"/>
    </xf>
    <xf numFmtId="0" fontId="24" fillId="59" borderId="1" xfId="0" applyFont="1" applyFill="1" applyBorder="1" applyAlignment="1">
      <alignment horizontal="center" vertical="center"/>
    </xf>
    <xf numFmtId="0" fontId="24" fillId="58" borderId="1" xfId="0" applyFont="1" applyFill="1" applyBorder="1" applyAlignment="1">
      <alignment horizontal="center" vertical="center"/>
    </xf>
    <xf numFmtId="3" fontId="24" fillId="59" borderId="1" xfId="0" applyNumberFormat="1" applyFont="1" applyFill="1" applyBorder="1" applyAlignment="1">
      <alignment horizontal="center" vertical="center"/>
    </xf>
    <xf numFmtId="3" fontId="61" fillId="59" borderId="3" xfId="0" applyNumberFormat="1" applyFont="1" applyFill="1" applyBorder="1" applyAlignment="1">
      <alignment horizontal="center" vertical="center"/>
    </xf>
    <xf numFmtId="0" fontId="61" fillId="59" borderId="3" xfId="0" applyFont="1" applyFill="1" applyBorder="1" applyAlignment="1" applyProtection="1">
      <alignment horizontal="center" vertical="center" wrapText="1"/>
    </xf>
    <xf numFmtId="0" fontId="61" fillId="59" borderId="3" xfId="0" applyFont="1" applyFill="1" applyBorder="1" applyAlignment="1">
      <alignment vertical="center" wrapText="1"/>
    </xf>
    <xf numFmtId="3" fontId="61" fillId="58" borderId="1" xfId="0" applyNumberFormat="1" applyFont="1" applyFill="1" applyBorder="1" applyAlignment="1">
      <alignment horizontal="center" vertical="center"/>
    </xf>
    <xf numFmtId="0" fontId="61" fillId="58" borderId="1" xfId="0" applyFont="1" applyFill="1" applyBorder="1" applyAlignment="1" applyProtection="1">
      <alignment horizontal="center" vertical="center" wrapText="1"/>
    </xf>
    <xf numFmtId="0" fontId="61" fillId="58" borderId="1" xfId="0" applyFont="1" applyFill="1" applyBorder="1" applyAlignment="1">
      <alignment vertical="center" wrapText="1"/>
    </xf>
    <xf numFmtId="0" fontId="0" fillId="58" borderId="1" xfId="0" applyFill="1" applyBorder="1" applyAlignment="1">
      <alignment wrapText="1"/>
    </xf>
    <xf numFmtId="3" fontId="0" fillId="58" borderId="1" xfId="0" applyNumberFormat="1" applyFill="1" applyBorder="1" applyAlignment="1">
      <alignment wrapText="1"/>
    </xf>
    <xf numFmtId="0" fontId="77" fillId="58" borderId="65" xfId="155" applyNumberFormat="1" applyFont="1" applyFill="1" applyBorder="1" applyAlignment="1" applyProtection="1">
      <alignment horizontal="center" vertical="center"/>
    </xf>
    <xf numFmtId="4" fontId="61" fillId="58" borderId="66" xfId="0" applyNumberFormat="1" applyFont="1" applyFill="1" applyBorder="1" applyAlignment="1">
      <alignment horizontal="center" vertical="center" wrapText="1" readingOrder="1"/>
    </xf>
    <xf numFmtId="4" fontId="61" fillId="58" borderId="66" xfId="0" applyNumberFormat="1" applyFont="1" applyFill="1" applyBorder="1" applyAlignment="1">
      <alignment vertical="center" wrapText="1" readingOrder="1"/>
    </xf>
    <xf numFmtId="0" fontId="77" fillId="59" borderId="65" xfId="155" applyNumberFormat="1" applyFont="1" applyFill="1" applyBorder="1" applyAlignment="1" applyProtection="1">
      <alignment horizontal="center" vertical="center"/>
    </xf>
    <xf numFmtId="4" fontId="61" fillId="59" borderId="66" xfId="0" applyNumberFormat="1" applyFont="1" applyFill="1" applyBorder="1" applyAlignment="1">
      <alignment horizontal="center" vertical="center" wrapText="1" readingOrder="1"/>
    </xf>
    <xf numFmtId="4" fontId="61" fillId="59" borderId="66" xfId="0" applyNumberFormat="1" applyFont="1" applyFill="1" applyBorder="1" applyAlignment="1">
      <alignment horizontal="center" vertical="center" readingOrder="1"/>
    </xf>
    <xf numFmtId="0" fontId="77" fillId="59" borderId="71" xfId="155" applyNumberFormat="1" applyFont="1" applyFill="1" applyBorder="1" applyAlignment="1" applyProtection="1">
      <alignment horizontal="center" vertical="center"/>
    </xf>
    <xf numFmtId="4" fontId="61" fillId="59" borderId="72" xfId="0" applyNumberFormat="1" applyFont="1" applyFill="1" applyBorder="1" applyAlignment="1">
      <alignment horizontal="center" vertical="center" wrapText="1" readingOrder="1"/>
    </xf>
    <xf numFmtId="4" fontId="61" fillId="58" borderId="66" xfId="0" applyNumberFormat="1" applyFont="1" applyFill="1" applyBorder="1" applyAlignment="1">
      <alignment horizontal="center" vertical="center" readingOrder="1"/>
    </xf>
    <xf numFmtId="4" fontId="61" fillId="59" borderId="66" xfId="0" applyNumberFormat="1" applyFont="1" applyFill="1" applyBorder="1" applyAlignment="1">
      <alignment vertical="center" wrapText="1" readingOrder="1"/>
    </xf>
    <xf numFmtId="0" fontId="0" fillId="58" borderId="65" xfId="0" applyFill="1" applyBorder="1" applyAlignment="1">
      <alignment wrapText="1"/>
    </xf>
    <xf numFmtId="0" fontId="0" fillId="58" borderId="66" xfId="0" applyFill="1" applyBorder="1" applyAlignment="1">
      <alignment wrapText="1"/>
    </xf>
    <xf numFmtId="0" fontId="77" fillId="59" borderId="68" xfId="155" applyNumberFormat="1" applyFont="1" applyFill="1" applyBorder="1" applyAlignment="1" applyProtection="1">
      <alignment horizontal="center" vertical="center"/>
    </xf>
    <xf numFmtId="0" fontId="61" fillId="59" borderId="69" xfId="0" applyFont="1" applyFill="1" applyBorder="1" applyAlignment="1">
      <alignment vertical="center" wrapText="1"/>
    </xf>
    <xf numFmtId="0" fontId="61" fillId="59" borderId="69" xfId="0" applyFont="1" applyFill="1" applyBorder="1" applyAlignment="1" applyProtection="1">
      <alignment horizontal="center" vertical="center" wrapText="1"/>
    </xf>
    <xf numFmtId="3" fontId="61" fillId="59" borderId="69" xfId="0" applyNumberFormat="1" applyFont="1" applyFill="1" applyBorder="1" applyAlignment="1">
      <alignment horizontal="center" vertical="center"/>
    </xf>
    <xf numFmtId="4" fontId="61" fillId="59" borderId="70" xfId="0" applyNumberFormat="1" applyFont="1" applyFill="1" applyBorder="1" applyAlignment="1">
      <alignment horizontal="center" vertical="center" wrapText="1" readingOrder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164" fontId="86" fillId="0" borderId="1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8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 applyBorder="1"/>
    <xf numFmtId="164" fontId="4" fillId="2" borderId="66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6" fillId="0" borderId="66" xfId="0" applyNumberFormat="1" applyFon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164" fontId="0" fillId="0" borderId="69" xfId="0" applyNumberFormat="1" applyBorder="1" applyAlignment="1">
      <alignment horizontal="center" vertical="center"/>
    </xf>
    <xf numFmtId="164" fontId="0" fillId="0" borderId="70" xfId="0" applyNumberForma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164" fontId="2" fillId="0" borderId="95" xfId="0" applyNumberFormat="1" applyFont="1" applyBorder="1" applyAlignment="1">
      <alignment horizontal="center" vertical="center"/>
    </xf>
    <xf numFmtId="164" fontId="2" fillId="0" borderId="96" xfId="0" applyNumberFormat="1" applyFont="1" applyBorder="1" applyAlignment="1">
      <alignment horizontal="center" vertical="center"/>
    </xf>
    <xf numFmtId="0" fontId="2" fillId="0" borderId="0" xfId="0" applyFont="1"/>
    <xf numFmtId="44" fontId="4" fillId="0" borderId="50" xfId="0" applyNumberFormat="1" applyFont="1" applyBorder="1" applyAlignment="1">
      <alignment horizontal="right" vertical="center"/>
    </xf>
    <xf numFmtId="10" fontId="4" fillId="0" borderId="50" xfId="2" applyNumberFormat="1" applyFont="1" applyBorder="1" applyAlignment="1">
      <alignment horizontal="right" vertical="center"/>
    </xf>
    <xf numFmtId="44" fontId="4" fillId="0" borderId="21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44" fontId="4" fillId="0" borderId="21" xfId="0" applyNumberFormat="1" applyFont="1" applyBorder="1"/>
    <xf numFmtId="10" fontId="0" fillId="0" borderId="0" xfId="2" applyNumberFormat="1" applyFont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justify" vertical="center" wrapText="1"/>
    </xf>
    <xf numFmtId="0" fontId="4" fillId="61" borderId="37" xfId="0" applyFont="1" applyFill="1" applyBorder="1" applyAlignment="1">
      <alignment horizontal="center" vertical="center"/>
    </xf>
    <xf numFmtId="0" fontId="4" fillId="61" borderId="38" xfId="0" applyFont="1" applyFill="1" applyBorder="1" applyAlignment="1">
      <alignment horizontal="center" vertical="center"/>
    </xf>
    <xf numFmtId="0" fontId="4" fillId="61" borderId="38" xfId="0" applyFont="1" applyFill="1" applyBorder="1" applyAlignment="1">
      <alignment horizontal="justify" vertical="center" wrapText="1"/>
    </xf>
    <xf numFmtId="0" fontId="11" fillId="0" borderId="99" xfId="0" applyFont="1" applyBorder="1" applyAlignment="1">
      <alignment horizontal="center" vertical="center"/>
    </xf>
    <xf numFmtId="0" fontId="11" fillId="0" borderId="99" xfId="0" applyFont="1" applyBorder="1"/>
    <xf numFmtId="10" fontId="11" fillId="0" borderId="99" xfId="2" applyNumberFormat="1" applyFont="1" applyBorder="1" applyAlignment="1">
      <alignment horizontal="center" vertical="center"/>
    </xf>
    <xf numFmtId="0" fontId="11" fillId="0" borderId="100" xfId="0" applyFont="1" applyBorder="1"/>
    <xf numFmtId="0" fontId="11" fillId="0" borderId="102" xfId="0" applyFont="1" applyBorder="1"/>
    <xf numFmtId="10" fontId="11" fillId="0" borderId="101" xfId="2" applyNumberFormat="1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/>
    <xf numFmtId="10" fontId="11" fillId="0" borderId="103" xfId="2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4" fontId="11" fillId="0" borderId="99" xfId="1" applyFont="1" applyBorder="1"/>
    <xf numFmtId="44" fontId="11" fillId="0" borderId="99" xfId="1" applyFont="1" applyBorder="1" applyAlignment="1">
      <alignment horizontal="center" vertical="center"/>
    </xf>
    <xf numFmtId="44" fontId="2" fillId="0" borderId="50" xfId="0" applyNumberFormat="1" applyFont="1" applyBorder="1"/>
    <xf numFmtId="0" fontId="11" fillId="0" borderId="105" xfId="0" applyFont="1" applyBorder="1" applyAlignment="1">
      <alignment horizontal="center" vertical="center"/>
    </xf>
    <xf numFmtId="0" fontId="11" fillId="0" borderId="105" xfId="0" applyFont="1" applyBorder="1"/>
    <xf numFmtId="44" fontId="11" fillId="0" borderId="105" xfId="1" applyFont="1" applyBorder="1"/>
    <xf numFmtId="10" fontId="11" fillId="0" borderId="105" xfId="2" applyNumberFormat="1" applyFont="1" applyBorder="1" applyAlignment="1">
      <alignment horizontal="center" vertical="center"/>
    </xf>
    <xf numFmtId="44" fontId="11" fillId="0" borderId="105" xfId="1" applyFont="1" applyBorder="1" applyAlignment="1">
      <alignment horizontal="center" vertical="center"/>
    </xf>
    <xf numFmtId="44" fontId="11" fillId="0" borderId="105" xfId="0" applyNumberFormat="1" applyFont="1" applyBorder="1"/>
    <xf numFmtId="0" fontId="4" fillId="61" borderId="106" xfId="0" applyFont="1" applyFill="1" applyBorder="1" applyAlignment="1">
      <alignment horizontal="center" vertical="center"/>
    </xf>
    <xf numFmtId="0" fontId="12" fillId="0" borderId="94" xfId="155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44" fontId="3" fillId="0" borderId="21" xfId="1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/>
    <xf numFmtId="0" fontId="0" fillId="0" borderId="34" xfId="0" applyBorder="1" applyAlignment="1">
      <alignment horizontal="center" vertical="center"/>
    </xf>
    <xf numFmtId="0" fontId="0" fillId="0" borderId="0" xfId="0" applyFill="1"/>
    <xf numFmtId="0" fontId="0" fillId="5" borderId="34" xfId="0" applyFill="1" applyBorder="1" applyAlignment="1">
      <alignment horizontal="center" vertical="center" wrapText="1"/>
    </xf>
    <xf numFmtId="0" fontId="0" fillId="0" borderId="34" xfId="0" applyBorder="1" applyAlignment="1">
      <alignment horizontal="justify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4" fontId="2" fillId="0" borderId="21" xfId="1" applyNumberFormat="1" applyFont="1" applyBorder="1" applyAlignment="1">
      <alignment horizontal="center" vertical="center" wrapText="1"/>
    </xf>
    <xf numFmtId="44" fontId="4" fillId="2" borderId="38" xfId="1" applyNumberFormat="1" applyFont="1" applyFill="1" applyBorder="1" applyAlignment="1">
      <alignment horizontal="center" vertical="center"/>
    </xf>
    <xf numFmtId="44" fontId="4" fillId="5" borderId="38" xfId="1" applyNumberFormat="1" applyFont="1" applyFill="1" applyBorder="1" applyAlignment="1">
      <alignment horizontal="center" vertical="center"/>
    </xf>
    <xf numFmtId="44" fontId="4" fillId="61" borderId="38" xfId="1" applyNumberFormat="1" applyFont="1" applyFill="1" applyBorder="1" applyAlignment="1">
      <alignment horizontal="center" vertical="center"/>
    </xf>
    <xf numFmtId="44" fontId="0" fillId="0" borderId="34" xfId="1" applyNumberFormat="1" applyFont="1" applyBorder="1" applyAlignment="1">
      <alignment horizontal="center" vertical="center"/>
    </xf>
    <xf numFmtId="44" fontId="0" fillId="0" borderId="34" xfId="1" applyNumberFormat="1" applyFont="1" applyFill="1" applyBorder="1" applyAlignment="1">
      <alignment horizontal="center" vertical="center"/>
    </xf>
    <xf numFmtId="44" fontId="0" fillId="0" borderId="0" xfId="1" applyNumberFormat="1" applyFont="1" applyFill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44" fontId="0" fillId="0" borderId="34" xfId="0" applyNumberFormat="1" applyFill="1" applyBorder="1" applyAlignment="1">
      <alignment horizontal="center" vertical="center"/>
    </xf>
    <xf numFmtId="44" fontId="2" fillId="0" borderId="21" xfId="1" applyNumberFormat="1" applyFont="1" applyBorder="1" applyAlignment="1">
      <alignment horizontal="center" vertical="center"/>
    </xf>
    <xf numFmtId="44" fontId="4" fillId="2" borderId="39" xfId="1" applyNumberFormat="1" applyFont="1" applyFill="1" applyBorder="1" applyAlignment="1">
      <alignment horizontal="center" vertical="center"/>
    </xf>
    <xf numFmtId="44" fontId="4" fillId="5" borderId="39" xfId="1" applyNumberFormat="1" applyFont="1" applyFill="1" applyBorder="1" applyAlignment="1">
      <alignment horizontal="center" vertical="center"/>
    </xf>
    <xf numFmtId="44" fontId="4" fillId="61" borderId="39" xfId="1" applyNumberFormat="1" applyFont="1" applyFill="1" applyBorder="1" applyAlignment="1">
      <alignment horizontal="center" vertical="center"/>
    </xf>
    <xf numFmtId="44" fontId="0" fillId="0" borderId="35" xfId="1" applyNumberFormat="1" applyFont="1" applyBorder="1" applyAlignment="1">
      <alignment horizontal="center" vertical="center"/>
    </xf>
    <xf numFmtId="44" fontId="4" fillId="0" borderId="35" xfId="1" applyNumberFormat="1" applyFont="1" applyBorder="1" applyAlignment="1">
      <alignment horizontal="center" vertical="center"/>
    </xf>
    <xf numFmtId="44" fontId="26" fillId="0" borderId="36" xfId="1" applyNumberFormat="1" applyFont="1" applyBorder="1" applyAlignment="1">
      <alignment horizontal="center" vertical="center"/>
    </xf>
    <xf numFmtId="44" fontId="4" fillId="2" borderId="38" xfId="0" applyNumberFormat="1" applyFont="1" applyFill="1" applyBorder="1" applyAlignment="1">
      <alignment horizontal="center" vertical="center"/>
    </xf>
    <xf numFmtId="44" fontId="4" fillId="5" borderId="38" xfId="0" applyNumberFormat="1" applyFont="1" applyFill="1" applyBorder="1" applyAlignment="1">
      <alignment horizontal="center" vertical="center"/>
    </xf>
    <xf numFmtId="44" fontId="4" fillId="61" borderId="38" xfId="0" applyNumberFormat="1" applyFont="1" applyFill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3" fillId="0" borderId="21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5" borderId="38" xfId="0" applyNumberFormat="1" applyFont="1" applyFill="1" applyBorder="1" applyAlignment="1">
      <alignment horizontal="center" vertical="center"/>
    </xf>
    <xf numFmtId="2" fontId="4" fillId="61" borderId="38" xfId="0" applyNumberFormat="1" applyFon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 wrapText="1"/>
    </xf>
    <xf numFmtId="2" fontId="4" fillId="61" borderId="106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4" fontId="0" fillId="0" borderId="0" xfId="1" applyNumberFormat="1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5" borderId="0" xfId="0" applyFill="1" applyBorder="1" applyAlignment="1">
      <alignment vertical="center" wrapText="1"/>
    </xf>
    <xf numFmtId="178" fontId="4" fillId="0" borderId="0" xfId="49" quotePrefix="1" applyNumberFormat="1" applyFont="1" applyBorder="1" applyAlignment="1">
      <alignment horizontal="center" vertical="center"/>
    </xf>
    <xf numFmtId="10" fontId="4" fillId="0" borderId="50" xfId="2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0" fontId="11" fillId="0" borderId="50" xfId="2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justify" vertical="center" wrapText="1"/>
    </xf>
    <xf numFmtId="0" fontId="37" fillId="0" borderId="0" xfId="55" applyFont="1" applyFill="1" applyBorder="1" applyAlignment="1">
      <alignment horizontal="left" vertical="center" wrapText="1"/>
    </xf>
    <xf numFmtId="0" fontId="2" fillId="0" borderId="0" xfId="57" applyFont="1" applyBorder="1" applyAlignment="1">
      <alignment horizontal="left" vertical="center"/>
    </xf>
    <xf numFmtId="10" fontId="2" fillId="0" borderId="0" xfId="57" applyNumberFormat="1" applyFont="1" applyBorder="1" applyAlignment="1">
      <alignment horizontal="center" vertical="center"/>
    </xf>
    <xf numFmtId="178" fontId="1" fillId="0" borderId="0" xfId="49" quotePrefix="1" applyNumberFormat="1" applyFont="1" applyBorder="1" applyAlignment="1">
      <alignment horizontal="center" vertical="center"/>
    </xf>
    <xf numFmtId="0" fontId="0" fillId="0" borderId="10" xfId="57" applyFont="1" applyBorder="1" applyAlignment="1">
      <alignment horizontal="center" vertical="center"/>
    </xf>
    <xf numFmtId="0" fontId="2" fillId="0" borderId="0" xfId="57" applyFont="1" applyBorder="1"/>
    <xf numFmtId="10" fontId="25" fillId="3" borderId="0" xfId="2" applyNumberFormat="1" applyFont="1" applyFill="1" applyBorder="1" applyAlignment="1">
      <alignment horizontal="center" vertical="center"/>
    </xf>
    <xf numFmtId="178" fontId="2" fillId="0" borderId="0" xfId="49" applyNumberFormat="1" applyFont="1" applyBorder="1" applyAlignment="1">
      <alignment horizontal="center" vertical="center"/>
    </xf>
    <xf numFmtId="4" fontId="34" fillId="5" borderId="112" xfId="55" applyNumberFormat="1" applyFont="1" applyFill="1" applyBorder="1" applyAlignment="1">
      <alignment horizontal="left"/>
    </xf>
    <xf numFmtId="10" fontId="34" fillId="5" borderId="112" xfId="56" applyNumberFormat="1" applyFont="1" applyFill="1" applyBorder="1" applyAlignment="1">
      <alignment horizontal="center" vertical="center"/>
    </xf>
    <xf numFmtId="0" fontId="13" fillId="3" borderId="1" xfId="55" applyFont="1" applyFill="1" applyBorder="1" applyAlignment="1">
      <alignment vertical="center"/>
    </xf>
    <xf numFmtId="0" fontId="13" fillId="3" borderId="1" xfId="55" applyFont="1" applyFill="1" applyBorder="1" applyAlignment="1">
      <alignment horizontal="center" vertical="center"/>
    </xf>
    <xf numFmtId="4" fontId="34" fillId="5" borderId="44" xfId="55" applyNumberFormat="1" applyFont="1" applyFill="1" applyBorder="1" applyAlignment="1">
      <alignment horizontal="left" wrapText="1"/>
    </xf>
    <xf numFmtId="14" fontId="34" fillId="5" borderId="111" xfId="55" applyNumberFormat="1" applyFont="1" applyFill="1" applyBorder="1" applyAlignment="1">
      <alignment horizontal="center" vertical="center"/>
    </xf>
    <xf numFmtId="14" fontId="34" fillId="5" borderId="43" xfId="55" applyNumberFormat="1" applyFont="1" applyFill="1" applyBorder="1" applyAlignment="1">
      <alignment horizontal="center" vertical="center"/>
    </xf>
    <xf numFmtId="0" fontId="13" fillId="3" borderId="1" xfId="55" applyFont="1" applyFill="1" applyBorder="1" applyAlignment="1">
      <alignment vertical="center" wrapText="1"/>
    </xf>
    <xf numFmtId="14" fontId="34" fillId="5" borderId="10" xfId="55" applyNumberFormat="1" applyFont="1" applyFill="1" applyBorder="1" applyAlignment="1">
      <alignment horizontal="center"/>
    </xf>
    <xf numFmtId="4" fontId="34" fillId="5" borderId="0" xfId="55" applyNumberFormat="1" applyFont="1" applyFill="1" applyBorder="1" applyAlignment="1">
      <alignment horizontal="left" vertical="center" wrapText="1"/>
    </xf>
    <xf numFmtId="10" fontId="34" fillId="5" borderId="0" xfId="56" applyNumberFormat="1" applyFont="1" applyFill="1" applyBorder="1" applyAlignment="1">
      <alignment horizontal="center" vertical="center" wrapText="1"/>
    </xf>
    <xf numFmtId="10" fontId="34" fillId="5" borderId="23" xfId="56" applyNumberFormat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NumberForma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center" vertical="center" wrapText="1"/>
    </xf>
    <xf numFmtId="3" fontId="0" fillId="0" borderId="69" xfId="0" applyNumberFormat="1" applyFill="1" applyBorder="1" applyAlignment="1">
      <alignment horizontal="center" vertical="center" wrapText="1"/>
    </xf>
    <xf numFmtId="44" fontId="12" fillId="0" borderId="69" xfId="1" applyFont="1" applyFill="1" applyBorder="1" applyAlignment="1">
      <alignment horizontal="center" vertical="center" wrapText="1"/>
    </xf>
    <xf numFmtId="44" fontId="2" fillId="0" borderId="70" xfId="1" applyFont="1" applyFill="1" applyBorder="1" applyAlignment="1">
      <alignment vertical="center" wrapText="1"/>
    </xf>
    <xf numFmtId="44" fontId="12" fillId="0" borderId="117" xfId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44" fontId="0" fillId="0" borderId="35" xfId="1" applyNumberFormat="1" applyFont="1" applyFill="1" applyBorder="1" applyAlignment="1">
      <alignment horizontal="center" vertical="center"/>
    </xf>
    <xf numFmtId="44" fontId="11" fillId="0" borderId="103" xfId="1" applyFont="1" applyBorder="1" applyAlignment="1">
      <alignment horizontal="center"/>
    </xf>
    <xf numFmtId="44" fontId="11" fillId="0" borderId="99" xfId="1" applyFont="1" applyBorder="1" applyAlignment="1">
      <alignment horizontal="center"/>
    </xf>
    <xf numFmtId="44" fontId="11" fillId="0" borderId="101" xfId="1" applyFont="1" applyBorder="1" applyAlignment="1">
      <alignment horizontal="center"/>
    </xf>
    <xf numFmtId="0" fontId="0" fillId="0" borderId="34" xfId="0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4" fillId="61" borderId="38" xfId="0" applyFont="1" applyFill="1" applyBorder="1" applyAlignment="1">
      <alignment vertical="center"/>
    </xf>
    <xf numFmtId="0" fontId="12" fillId="0" borderId="0" xfId="0" applyFont="1" applyFill="1"/>
    <xf numFmtId="44" fontId="12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justify" vertical="center" wrapText="1"/>
    </xf>
    <xf numFmtId="44" fontId="12" fillId="0" borderId="34" xfId="1" applyNumberFormat="1" applyFont="1" applyFill="1" applyBorder="1" applyAlignment="1">
      <alignment horizontal="center" vertical="center"/>
    </xf>
    <xf numFmtId="44" fontId="12" fillId="0" borderId="35" xfId="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justify" vertical="center" wrapText="1"/>
    </xf>
    <xf numFmtId="2" fontId="4" fillId="2" borderId="31" xfId="0" applyNumberFormat="1" applyFont="1" applyFill="1" applyBorder="1" applyAlignment="1">
      <alignment horizontal="center" vertical="center"/>
    </xf>
    <xf numFmtId="44" fontId="4" fillId="2" borderId="31" xfId="0" applyNumberFormat="1" applyFont="1" applyFill="1" applyBorder="1" applyAlignment="1">
      <alignment horizontal="center" vertical="center"/>
    </xf>
    <xf numFmtId="44" fontId="4" fillId="2" borderId="31" xfId="1" applyNumberFormat="1" applyFont="1" applyFill="1" applyBorder="1" applyAlignment="1">
      <alignment horizontal="center" vertical="center"/>
    </xf>
    <xf numFmtId="44" fontId="4" fillId="2" borderId="32" xfId="1" applyNumberFormat="1" applyFont="1" applyFill="1" applyBorder="1" applyAlignment="1">
      <alignment horizontal="center" vertical="center"/>
    </xf>
    <xf numFmtId="0" fontId="0" fillId="5" borderId="118" xfId="0" applyNumberFormat="1" applyFont="1" applyFill="1" applyBorder="1" applyAlignment="1">
      <alignment horizontal="center" vertical="center" wrapText="1"/>
    </xf>
    <xf numFmtId="0" fontId="0" fillId="5" borderId="118" xfId="0" applyFont="1" applyFill="1" applyBorder="1" applyAlignment="1">
      <alignment horizontal="center" vertical="center" wrapText="1"/>
    </xf>
    <xf numFmtId="0" fontId="0" fillId="5" borderId="118" xfId="0" applyFont="1" applyFill="1" applyBorder="1" applyAlignment="1">
      <alignment horizontal="left" vertical="center" wrapText="1"/>
    </xf>
    <xf numFmtId="177" fontId="0" fillId="5" borderId="118" xfId="0" applyNumberFormat="1" applyFill="1" applyBorder="1" applyAlignment="1">
      <alignment horizontal="center" vertical="center" wrapText="1"/>
    </xf>
    <xf numFmtId="44" fontId="0" fillId="5" borderId="118" xfId="1" applyNumberFormat="1" applyFont="1" applyFill="1" applyBorder="1" applyAlignment="1">
      <alignment horizontal="center" vertical="center" wrapText="1"/>
    </xf>
    <xf numFmtId="176" fontId="0" fillId="5" borderId="118" xfId="1" applyNumberFormat="1" applyFont="1" applyFill="1" applyBorder="1" applyAlignment="1">
      <alignment horizontal="center" vertical="center" wrapText="1"/>
    </xf>
    <xf numFmtId="44" fontId="0" fillId="5" borderId="118" xfId="1" applyFont="1" applyFill="1" applyBorder="1" applyAlignment="1">
      <alignment horizontal="center" vertical="center" wrapText="1"/>
    </xf>
    <xf numFmtId="44" fontId="1" fillId="5" borderId="119" xfId="1" applyFont="1" applyFill="1" applyBorder="1" applyAlignment="1">
      <alignment horizontal="center" vertical="center" wrapText="1"/>
    </xf>
    <xf numFmtId="0" fontId="0" fillId="0" borderId="118" xfId="0" applyFont="1" applyBorder="1" applyAlignment="1">
      <alignment horizontal="left" vertical="center" wrapText="1"/>
    </xf>
    <xf numFmtId="0" fontId="2" fillId="60" borderId="118" xfId="0" applyNumberFormat="1" applyFont="1" applyFill="1" applyBorder="1" applyAlignment="1">
      <alignment horizontal="center" vertical="center" wrapText="1"/>
    </xf>
    <xf numFmtId="0" fontId="2" fillId="60" borderId="118" xfId="0" applyFont="1" applyFill="1" applyBorder="1" applyAlignment="1">
      <alignment horizontal="center" vertical="center" wrapText="1"/>
    </xf>
    <xf numFmtId="0" fontId="2" fillId="60" borderId="118" xfId="0" applyFont="1" applyFill="1" applyBorder="1" applyAlignment="1">
      <alignment horizontal="left" vertical="center" wrapText="1"/>
    </xf>
    <xf numFmtId="177" fontId="4" fillId="60" borderId="118" xfId="0" applyNumberFormat="1" applyFont="1" applyFill="1" applyBorder="1" applyAlignment="1">
      <alignment horizontal="center" vertical="center" wrapText="1"/>
    </xf>
    <xf numFmtId="44" fontId="4" fillId="60" borderId="118" xfId="1" applyNumberFormat="1" applyFont="1" applyFill="1" applyBorder="1" applyAlignment="1">
      <alignment horizontal="center" vertical="center" wrapText="1"/>
    </xf>
    <xf numFmtId="44" fontId="4" fillId="60" borderId="118" xfId="1" applyFont="1" applyFill="1" applyBorder="1" applyAlignment="1">
      <alignment horizontal="center" vertical="center" wrapText="1"/>
    </xf>
    <xf numFmtId="44" fontId="2" fillId="60" borderId="119" xfId="1" applyFont="1" applyFill="1" applyBorder="1" applyAlignment="1">
      <alignment horizontal="center" vertical="center" wrapText="1"/>
    </xf>
    <xf numFmtId="2" fontId="2" fillId="60" borderId="118" xfId="0" applyNumberFormat="1" applyFont="1" applyFill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5" borderId="118" xfId="0" applyFill="1" applyBorder="1" applyAlignment="1">
      <alignment horizontal="center" vertical="center" wrapText="1"/>
    </xf>
    <xf numFmtId="177" fontId="0" fillId="0" borderId="118" xfId="0" applyNumberFormat="1" applyFill="1" applyBorder="1" applyAlignment="1">
      <alignment horizontal="center" vertical="center" wrapText="1"/>
    </xf>
    <xf numFmtId="44" fontId="0" fillId="0" borderId="118" xfId="1" applyFont="1" applyBorder="1" applyAlignment="1">
      <alignment horizontal="center" vertical="center" wrapText="1"/>
    </xf>
    <xf numFmtId="0" fontId="12" fillId="0" borderId="118" xfId="155" applyNumberFormat="1" applyFont="1" applyFill="1" applyBorder="1" applyAlignment="1" applyProtection="1">
      <alignment horizontal="center" vertical="center" wrapText="1"/>
    </xf>
    <xf numFmtId="177" fontId="0" fillId="0" borderId="118" xfId="0" applyNumberFormat="1" applyBorder="1" applyAlignment="1">
      <alignment horizontal="center" vertical="center" wrapText="1"/>
    </xf>
    <xf numFmtId="44" fontId="0" fillId="0" borderId="118" xfId="1" applyNumberFormat="1" applyFont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left" vertical="center" wrapText="1"/>
    </xf>
    <xf numFmtId="44" fontId="0" fillId="0" borderId="118" xfId="1" applyNumberFormat="1" applyFont="1" applyFill="1" applyBorder="1" applyAlignment="1">
      <alignment horizontal="center" vertical="center" wrapText="1"/>
    </xf>
    <xf numFmtId="44" fontId="0" fillId="0" borderId="118" xfId="1" applyFont="1" applyFill="1" applyBorder="1" applyAlignment="1">
      <alignment horizontal="center" vertical="center" wrapText="1"/>
    </xf>
    <xf numFmtId="44" fontId="1" fillId="0" borderId="119" xfId="1" applyFont="1" applyFill="1" applyBorder="1" applyAlignment="1">
      <alignment horizontal="center" vertical="center" wrapText="1"/>
    </xf>
    <xf numFmtId="0" fontId="2" fillId="60" borderId="118" xfId="0" applyNumberFormat="1" applyFont="1" applyFill="1" applyBorder="1" applyAlignment="1">
      <alignment horizontal="left" vertical="center" wrapText="1"/>
    </xf>
    <xf numFmtId="3" fontId="2" fillId="60" borderId="118" xfId="0" applyNumberFormat="1" applyFont="1" applyFill="1" applyBorder="1" applyAlignment="1">
      <alignment horizontal="center" vertical="center" wrapText="1"/>
    </xf>
    <xf numFmtId="0" fontId="0" fillId="0" borderId="118" xfId="0" applyNumberFormat="1" applyFont="1" applyFill="1" applyBorder="1" applyAlignment="1">
      <alignment horizontal="center" vertical="center" wrapText="1"/>
    </xf>
    <xf numFmtId="176" fontId="0" fillId="0" borderId="118" xfId="1" applyNumberFormat="1" applyFont="1" applyFill="1" applyBorder="1" applyAlignment="1">
      <alignment horizontal="center" vertical="center" wrapText="1"/>
    </xf>
    <xf numFmtId="0" fontId="84" fillId="5" borderId="118" xfId="165" applyFont="1" applyFill="1" applyBorder="1" applyAlignment="1">
      <alignment horizontal="left" vertical="center" wrapText="1"/>
    </xf>
    <xf numFmtId="0" fontId="84" fillId="5" borderId="118" xfId="165" applyFont="1" applyFill="1" applyBorder="1" applyAlignment="1">
      <alignment horizontal="center" vertical="center" wrapText="1"/>
    </xf>
    <xf numFmtId="177" fontId="84" fillId="5" borderId="118" xfId="165" applyNumberFormat="1" applyFont="1" applyFill="1" applyBorder="1" applyAlignment="1">
      <alignment horizontal="center" vertical="center" wrapText="1"/>
    </xf>
    <xf numFmtId="4" fontId="0" fillId="0" borderId="118" xfId="0" applyNumberFormat="1" applyFill="1" applyBorder="1" applyAlignment="1">
      <alignment horizontal="center" vertical="center" wrapText="1"/>
    </xf>
    <xf numFmtId="10" fontId="87" fillId="0" borderId="29" xfId="0" applyNumberFormat="1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vertical="center" wrapText="1"/>
    </xf>
    <xf numFmtId="44" fontId="2" fillId="5" borderId="21" xfId="0" applyNumberFormat="1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NumberFormat="1" applyFill="1" applyBorder="1" applyAlignment="1">
      <alignment horizontal="center" vertical="center" wrapText="1"/>
    </xf>
    <xf numFmtId="0" fontId="0" fillId="0" borderId="63" xfId="0" applyNumberFormat="1" applyFill="1" applyBorder="1" applyAlignment="1">
      <alignment horizontal="left" vertical="center" wrapText="1"/>
    </xf>
    <xf numFmtId="3" fontId="0" fillId="0" borderId="63" xfId="0" applyNumberFormat="1" applyFill="1" applyBorder="1" applyAlignment="1">
      <alignment horizontal="center" vertical="center" wrapText="1"/>
    </xf>
    <xf numFmtId="44" fontId="12" fillId="0" borderId="63" xfId="1" applyFont="1" applyFill="1" applyBorder="1" applyAlignment="1">
      <alignment horizontal="center" vertical="center" wrapText="1"/>
    </xf>
    <xf numFmtId="44" fontId="2" fillId="0" borderId="64" xfId="1" applyFont="1" applyFill="1" applyBorder="1" applyAlignment="1">
      <alignment vertical="center" wrapText="1"/>
    </xf>
    <xf numFmtId="0" fontId="0" fillId="0" borderId="65" xfId="0" applyFill="1" applyBorder="1" applyAlignment="1">
      <alignment horizontal="center" vertical="center" wrapText="1"/>
    </xf>
    <xf numFmtId="44" fontId="2" fillId="0" borderId="66" xfId="1" applyFont="1" applyFill="1" applyBorder="1" applyAlignment="1">
      <alignment vertical="center" wrapText="1"/>
    </xf>
    <xf numFmtId="44" fontId="12" fillId="0" borderId="120" xfId="1" applyFont="1" applyFill="1" applyBorder="1" applyAlignment="1">
      <alignment horizontal="center" vertical="center" wrapText="1"/>
    </xf>
    <xf numFmtId="44" fontId="12" fillId="0" borderId="17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3" borderId="65" xfId="55" applyFont="1" applyFill="1" applyBorder="1" applyAlignment="1">
      <alignment horizontal="center" vertical="center" wrapText="1"/>
    </xf>
    <xf numFmtId="0" fontId="13" fillId="3" borderId="66" xfId="55" applyFont="1" applyFill="1" applyBorder="1" applyAlignment="1">
      <alignment horizontal="center" vertical="center"/>
    </xf>
    <xf numFmtId="0" fontId="12" fillId="5" borderId="118" xfId="0" applyNumberFormat="1" applyFont="1" applyFill="1" applyBorder="1" applyAlignment="1">
      <alignment horizontal="center" vertical="center" wrapText="1"/>
    </xf>
    <xf numFmtId="0" fontId="12" fillId="5" borderId="118" xfId="165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44" fontId="2" fillId="0" borderId="21" xfId="0" applyNumberFormat="1" applyFont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118" xfId="0" applyFill="1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0" fillId="5" borderId="118" xfId="0" applyFill="1" applyBorder="1" applyAlignment="1">
      <alignment horizontal="left" vertical="center" wrapText="1"/>
    </xf>
    <xf numFmtId="0" fontId="0" fillId="0" borderId="11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/>
    </xf>
    <xf numFmtId="44" fontId="0" fillId="0" borderId="34" xfId="0" applyNumberForma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justify" vertical="center" wrapText="1"/>
    </xf>
    <xf numFmtId="2" fontId="0" fillId="0" borderId="34" xfId="0" applyNumberFormat="1" applyFill="1" applyBorder="1" applyAlignment="1">
      <alignment horizontal="justify" vertical="center"/>
    </xf>
    <xf numFmtId="0" fontId="0" fillId="0" borderId="34" xfId="0" applyFill="1" applyBorder="1" applyAlignment="1">
      <alignment horizontal="justify" vertical="center" wrapText="1"/>
    </xf>
    <xf numFmtId="0" fontId="0" fillId="5" borderId="118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0" fontId="12" fillId="0" borderId="34" xfId="0" applyFont="1" applyFill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10" fontId="4" fillId="0" borderId="50" xfId="2" applyNumberFormat="1" applyFont="1" applyBorder="1" applyAlignment="1">
      <alignment horizontal="center" vertical="center"/>
    </xf>
    <xf numFmtId="44" fontId="11" fillId="0" borderId="121" xfId="1" applyFont="1" applyBorder="1" applyAlignment="1">
      <alignment horizontal="center" vertical="center"/>
    </xf>
    <xf numFmtId="10" fontId="11" fillId="0" borderId="122" xfId="2" applyNumberFormat="1" applyFont="1" applyBorder="1" applyAlignment="1">
      <alignment horizontal="center" vertical="center"/>
    </xf>
    <xf numFmtId="44" fontId="11" fillId="0" borderId="124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0" fontId="11" fillId="0" borderId="126" xfId="2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11" fillId="0" borderId="127" xfId="2" applyNumberFormat="1" applyFont="1" applyBorder="1" applyAlignment="1">
      <alignment horizontal="center" vertical="center"/>
    </xf>
    <xf numFmtId="44" fontId="11" fillId="0" borderId="129" xfId="1" applyFont="1" applyBorder="1" applyAlignment="1">
      <alignment horizontal="center" vertical="center"/>
    </xf>
    <xf numFmtId="44" fontId="11" fillId="0" borderId="122" xfId="1" applyFont="1" applyBorder="1" applyAlignment="1">
      <alignment horizontal="center" vertical="center"/>
    </xf>
    <xf numFmtId="44" fontId="11" fillId="0" borderId="123" xfId="1" applyNumberFormat="1" applyFont="1" applyBorder="1" applyAlignment="1">
      <alignment horizontal="center" vertical="center"/>
    </xf>
    <xf numFmtId="44" fontId="11" fillId="0" borderId="110" xfId="1" applyNumberFormat="1" applyFont="1" applyBorder="1" applyAlignment="1">
      <alignment horizontal="center" vertical="center"/>
    </xf>
    <xf numFmtId="44" fontId="11" fillId="0" borderId="125" xfId="1" applyNumberFormat="1" applyFont="1" applyBorder="1" applyAlignment="1">
      <alignment horizontal="center" vertical="center"/>
    </xf>
    <xf numFmtId="44" fontId="11" fillId="0" borderId="100" xfId="1" applyNumberFormat="1" applyFont="1" applyBorder="1" applyAlignment="1">
      <alignment horizontal="center" vertical="center"/>
    </xf>
    <xf numFmtId="44" fontId="11" fillId="0" borderId="128" xfId="1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0" fontId="4" fillId="0" borderId="50" xfId="2" applyNumberFormat="1" applyFont="1" applyBorder="1" applyAlignment="1">
      <alignment horizontal="center" vertical="center"/>
    </xf>
    <xf numFmtId="0" fontId="11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23" xfId="0" applyBorder="1"/>
    <xf numFmtId="0" fontId="41" fillId="0" borderId="10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44" fontId="2" fillId="0" borderId="29" xfId="1" applyFont="1" applyBorder="1" applyAlignment="1">
      <alignment vertical="center"/>
    </xf>
    <xf numFmtId="44" fontId="2" fillId="0" borderId="22" xfId="1" applyFont="1" applyBorder="1" applyAlignment="1">
      <alignment vertical="center"/>
    </xf>
    <xf numFmtId="44" fontId="2" fillId="0" borderId="26" xfId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Fill="1" applyBorder="1" applyAlignment="1">
      <alignment horizontal="justify" vertical="center" wrapText="1"/>
    </xf>
    <xf numFmtId="44" fontId="0" fillId="0" borderId="34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61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44" fontId="0" fillId="0" borderId="34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40" xfId="0" applyFont="1" applyBorder="1" applyAlignment="1">
      <alignment horizontal="right" vertical="center"/>
    </xf>
    <xf numFmtId="0" fontId="26" fillId="0" borderId="41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 wrapText="1"/>
    </xf>
    <xf numFmtId="10" fontId="11" fillId="0" borderId="22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10" fontId="11" fillId="0" borderId="23" xfId="0" applyNumberFormat="1" applyFont="1" applyBorder="1" applyAlignment="1">
      <alignment horizontal="center" vertical="center" wrapText="1"/>
    </xf>
    <xf numFmtId="10" fontId="11" fillId="0" borderId="24" xfId="0" applyNumberFormat="1" applyFont="1" applyBorder="1" applyAlignment="1">
      <alignment horizontal="center" vertical="center" wrapText="1"/>
    </xf>
    <xf numFmtId="10" fontId="11" fillId="0" borderId="26" xfId="0" applyNumberFormat="1" applyFont="1" applyBorder="1" applyAlignment="1">
      <alignment horizontal="center" vertical="center" wrapText="1"/>
    </xf>
    <xf numFmtId="10" fontId="11" fillId="0" borderId="67" xfId="2" applyNumberFormat="1" applyFont="1" applyBorder="1" applyAlignment="1">
      <alignment horizontal="center" vertical="center"/>
    </xf>
    <xf numFmtId="10" fontId="11" fillId="0" borderId="50" xfId="2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0" borderId="108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107" xfId="0" applyFont="1" applyBorder="1" applyAlignment="1">
      <alignment horizontal="right" vertical="center" wrapText="1"/>
    </xf>
    <xf numFmtId="0" fontId="4" fillId="0" borderId="108" xfId="0" applyFont="1" applyBorder="1" applyAlignment="1">
      <alignment horizontal="right" vertical="center" wrapText="1"/>
    </xf>
    <xf numFmtId="0" fontId="4" fillId="0" borderId="109" xfId="0" applyFont="1" applyBorder="1" applyAlignment="1">
      <alignment horizontal="right" vertical="center" wrapText="1"/>
    </xf>
    <xf numFmtId="0" fontId="82" fillId="0" borderId="6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44" fillId="61" borderId="21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justify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justify" vertical="center" wrapText="1"/>
    </xf>
    <xf numFmtId="44" fontId="0" fillId="5" borderId="58" xfId="1" applyFon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justify" vertical="center" wrapText="1"/>
    </xf>
    <xf numFmtId="44" fontId="0" fillId="6" borderId="58" xfId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justify" vertical="center" wrapText="1"/>
    </xf>
    <xf numFmtId="0" fontId="0" fillId="5" borderId="60" xfId="0" applyFill="1" applyBorder="1" applyAlignment="1">
      <alignment horizontal="justify" vertical="center" wrapText="1"/>
    </xf>
    <xf numFmtId="44" fontId="0" fillId="5" borderId="61" xfId="1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71" fontId="19" fillId="0" borderId="1" xfId="50" applyFont="1" applyBorder="1" applyAlignment="1">
      <alignment horizontal="center" vertical="center"/>
    </xf>
    <xf numFmtId="171" fontId="19" fillId="0" borderId="1" xfId="50" applyFont="1" applyBorder="1" applyAlignment="1">
      <alignment vertical="center"/>
    </xf>
    <xf numFmtId="171" fontId="19" fillId="0" borderId="1" xfId="50" applyFont="1" applyBorder="1" applyAlignment="1">
      <alignment horizontal="center" vertical="center" wrapText="1"/>
    </xf>
    <xf numFmtId="171" fontId="19" fillId="0" borderId="1" xfId="50" applyFont="1" applyBorder="1" applyAlignment="1">
      <alignment vertical="center" wrapText="1"/>
    </xf>
    <xf numFmtId="171" fontId="13" fillId="0" borderId="7" xfId="22" applyNumberFormat="1" applyFont="1" applyFill="1" applyBorder="1" applyAlignment="1">
      <alignment horizontal="center" vertical="center" wrapText="1"/>
    </xf>
    <xf numFmtId="171" fontId="13" fillId="0" borderId="4" xfId="22" applyNumberFormat="1" applyFont="1" applyFill="1" applyBorder="1" applyAlignment="1">
      <alignment horizontal="center" vertical="center" wrapText="1"/>
    </xf>
    <xf numFmtId="171" fontId="13" fillId="0" borderId="10" xfId="22" applyNumberFormat="1" applyFont="1" applyFill="1" applyBorder="1" applyAlignment="1">
      <alignment horizontal="center" vertical="center" wrapText="1"/>
    </xf>
    <xf numFmtId="171" fontId="13" fillId="0" borderId="0" xfId="22" applyNumberFormat="1" applyFont="1" applyFill="1" applyBorder="1" applyAlignment="1">
      <alignment horizontal="center" vertical="center" wrapText="1"/>
    </xf>
    <xf numFmtId="171" fontId="13" fillId="0" borderId="13" xfId="22" applyNumberFormat="1" applyFont="1" applyFill="1" applyBorder="1" applyAlignment="1">
      <alignment horizontal="center" vertical="center" wrapText="1"/>
    </xf>
    <xf numFmtId="171" fontId="13" fillId="0" borderId="14" xfId="22" applyNumberFormat="1" applyFont="1" applyFill="1" applyBorder="1" applyAlignment="1">
      <alignment horizontal="center" vertical="center" wrapText="1"/>
    </xf>
    <xf numFmtId="171" fontId="14" fillId="0" borderId="8" xfId="22" applyNumberFormat="1" applyFont="1" applyFill="1" applyBorder="1" applyAlignment="1">
      <alignment horizontal="center" vertical="center" wrapText="1"/>
    </xf>
    <xf numFmtId="171" fontId="14" fillId="0" borderId="9" xfId="22" applyNumberFormat="1" applyFont="1" applyFill="1" applyBorder="1" applyAlignment="1">
      <alignment horizontal="center" vertical="center" wrapText="1"/>
    </xf>
    <xf numFmtId="171" fontId="15" fillId="0" borderId="8" xfId="22" applyNumberFormat="1" applyFont="1" applyFill="1" applyBorder="1" applyAlignment="1">
      <alignment horizontal="center" vertical="center" wrapText="1"/>
    </xf>
    <xf numFmtId="171" fontId="15" fillId="0" borderId="4" xfId="22" applyNumberFormat="1" applyFont="1" applyFill="1" applyBorder="1" applyAlignment="1">
      <alignment horizontal="center" vertical="center" wrapText="1"/>
    </xf>
    <xf numFmtId="171" fontId="15" fillId="0" borderId="11" xfId="22" applyNumberFormat="1" applyFont="1" applyFill="1" applyBorder="1" applyAlignment="1">
      <alignment horizontal="center" vertical="center" wrapText="1"/>
    </xf>
    <xf numFmtId="171" fontId="15" fillId="0" borderId="0" xfId="22" applyNumberFormat="1" applyFont="1" applyFill="1" applyBorder="1" applyAlignment="1">
      <alignment horizontal="center" vertical="center" wrapText="1"/>
    </xf>
    <xf numFmtId="171" fontId="15" fillId="0" borderId="15" xfId="22" applyNumberFormat="1" applyFont="1" applyFill="1" applyBorder="1" applyAlignment="1">
      <alignment horizontal="center" vertical="center" wrapText="1"/>
    </xf>
    <xf numFmtId="171" fontId="15" fillId="0" borderId="14" xfId="22" applyNumberFormat="1" applyFont="1" applyFill="1" applyBorder="1" applyAlignment="1">
      <alignment horizontal="center" vertical="center" wrapText="1"/>
    </xf>
    <xf numFmtId="171" fontId="15" fillId="0" borderId="12" xfId="22" applyNumberFormat="1" applyFont="1" applyFill="1" applyBorder="1" applyAlignment="1">
      <alignment horizontal="center" vertical="center" wrapText="1"/>
    </xf>
    <xf numFmtId="171" fontId="16" fillId="0" borderId="15" xfId="22" applyNumberFormat="1" applyFont="1" applyFill="1" applyBorder="1" applyAlignment="1">
      <alignment horizontal="center" vertical="center" wrapText="1"/>
    </xf>
    <xf numFmtId="171" fontId="16" fillId="0" borderId="16" xfId="22" applyNumberFormat="1" applyFont="1" applyFill="1" applyBorder="1" applyAlignment="1">
      <alignment horizontal="center" vertical="center" wrapText="1"/>
    </xf>
    <xf numFmtId="171" fontId="13" fillId="0" borderId="17" xfId="22" applyNumberFormat="1" applyFont="1" applyBorder="1" applyAlignment="1">
      <alignment horizontal="center" vertical="center" wrapText="1"/>
    </xf>
    <xf numFmtId="171" fontId="13" fillId="0" borderId="18" xfId="22" applyNumberFormat="1" applyFont="1" applyBorder="1" applyAlignment="1">
      <alignment horizontal="center" vertical="center" wrapText="1"/>
    </xf>
    <xf numFmtId="171" fontId="13" fillId="0" borderId="17" xfId="22" applyNumberFormat="1" applyFont="1" applyFill="1" applyBorder="1" applyAlignment="1">
      <alignment horizontal="left" vertical="center" wrapText="1"/>
    </xf>
    <xf numFmtId="171" fontId="13" fillId="0" borderId="18" xfId="22" applyNumberFormat="1" applyFont="1" applyFill="1" applyBorder="1" applyAlignment="1">
      <alignment horizontal="left" vertical="center" wrapText="1"/>
    </xf>
    <xf numFmtId="171" fontId="13" fillId="0" borderId="19" xfId="22" applyNumberFormat="1" applyFont="1" applyFill="1" applyBorder="1" applyAlignment="1">
      <alignment horizontal="left" vertical="center" wrapText="1"/>
    </xf>
    <xf numFmtId="171" fontId="18" fillId="0" borderId="17" xfId="22" applyNumberFormat="1" applyFont="1" applyFill="1" applyBorder="1" applyAlignment="1">
      <alignment horizontal="left" vertical="center" wrapText="1"/>
    </xf>
    <xf numFmtId="171" fontId="18" fillId="0" borderId="18" xfId="22" applyNumberFormat="1" applyFont="1" applyFill="1" applyBorder="1" applyAlignment="1">
      <alignment horizontal="left" vertical="center" wrapText="1"/>
    </xf>
    <xf numFmtId="171" fontId="18" fillId="0" borderId="19" xfId="22" applyNumberFormat="1" applyFont="1" applyFill="1" applyBorder="1" applyAlignment="1">
      <alignment horizontal="left" vertical="center" wrapText="1"/>
    </xf>
    <xf numFmtId="171" fontId="13" fillId="0" borderId="8" xfId="22" applyNumberFormat="1" applyFont="1" applyBorder="1" applyAlignment="1">
      <alignment horizontal="center" vertical="center" wrapText="1"/>
    </xf>
    <xf numFmtId="171" fontId="13" fillId="0" borderId="4" xfId="22" applyNumberFormat="1" applyFont="1" applyBorder="1" applyAlignment="1">
      <alignment horizontal="center" vertical="center" wrapText="1"/>
    </xf>
    <xf numFmtId="171" fontId="13" fillId="0" borderId="1" xfId="22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/>
    </xf>
    <xf numFmtId="44" fontId="4" fillId="0" borderId="50" xfId="0" applyNumberFormat="1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/>
    </xf>
    <xf numFmtId="10" fontId="4" fillId="0" borderId="50" xfId="2" applyNumberFormat="1" applyFont="1" applyBorder="1" applyAlignment="1">
      <alignment horizontal="center" vertical="center"/>
    </xf>
    <xf numFmtId="10" fontId="4" fillId="0" borderId="21" xfId="2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1" fillId="0" borderId="50" xfId="0" applyFont="1" applyBorder="1" applyAlignment="1">
      <alignment horizontal="right" vertical="center"/>
    </xf>
    <xf numFmtId="10" fontId="0" fillId="0" borderId="21" xfId="2" applyNumberFormat="1" applyFont="1" applyBorder="1" applyAlignment="1">
      <alignment horizontal="center" vertical="center"/>
    </xf>
    <xf numFmtId="10" fontId="1" fillId="0" borderId="21" xfId="2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5" fillId="5" borderId="10" xfId="57" applyFont="1" applyFill="1" applyBorder="1" applyAlignment="1">
      <alignment horizontal="center"/>
    </xf>
    <xf numFmtId="0" fontId="25" fillId="5" borderId="0" xfId="57" applyFont="1" applyFill="1" applyBorder="1" applyAlignment="1">
      <alignment horizontal="center"/>
    </xf>
    <xf numFmtId="0" fontId="25" fillId="3" borderId="10" xfId="57" applyFont="1" applyFill="1" applyBorder="1" applyAlignment="1">
      <alignment horizontal="center"/>
    </xf>
    <xf numFmtId="0" fontId="25" fillId="3" borderId="0" xfId="57" applyFont="1" applyFill="1" applyBorder="1" applyAlignment="1">
      <alignment horizontal="center"/>
    </xf>
    <xf numFmtId="0" fontId="37" fillId="0" borderId="0" xfId="55" applyFont="1" applyFill="1" applyBorder="1" applyAlignment="1">
      <alignment horizontal="left" vertical="center" wrapText="1"/>
    </xf>
    <xf numFmtId="0" fontId="38" fillId="0" borderId="0" xfId="55" applyFont="1" applyFill="1" applyBorder="1" applyAlignment="1">
      <alignment horizontal="right" vertical="center" wrapText="1"/>
    </xf>
    <xf numFmtId="0" fontId="38" fillId="0" borderId="23" xfId="55" applyFont="1" applyFill="1" applyBorder="1" applyAlignment="1">
      <alignment horizontal="right" vertical="center" wrapText="1"/>
    </xf>
    <xf numFmtId="10" fontId="38" fillId="0" borderId="0" xfId="55" applyNumberFormat="1" applyFont="1" applyFill="1" applyBorder="1" applyAlignment="1">
      <alignment horizontal="right" vertical="center" wrapText="1"/>
    </xf>
    <xf numFmtId="0" fontId="39" fillId="0" borderId="10" xfId="55" applyNumberFormat="1" applyFont="1" applyBorder="1" applyAlignment="1">
      <alignment horizontal="center" vertical="center" wrapText="1"/>
    </xf>
    <xf numFmtId="0" fontId="39" fillId="0" borderId="0" xfId="55" applyNumberFormat="1" applyFont="1" applyBorder="1" applyAlignment="1">
      <alignment horizontal="center" vertical="center" wrapText="1"/>
    </xf>
    <xf numFmtId="0" fontId="39" fillId="0" borderId="0" xfId="55" applyFont="1" applyBorder="1" applyAlignment="1">
      <alignment horizontal="center" vertical="center" wrapText="1"/>
    </xf>
    <xf numFmtId="0" fontId="39" fillId="0" borderId="23" xfId="55" applyNumberFormat="1" applyFont="1" applyBorder="1" applyAlignment="1">
      <alignment horizontal="center" vertical="center" wrapText="1"/>
    </xf>
    <xf numFmtId="0" fontId="36" fillId="0" borderId="10" xfId="55" applyNumberFormat="1" applyFont="1" applyBorder="1" applyAlignment="1">
      <alignment horizontal="center" vertical="center" wrapText="1"/>
    </xf>
    <xf numFmtId="0" fontId="36" fillId="0" borderId="0" xfId="55" applyNumberFormat="1" applyFont="1" applyBorder="1" applyAlignment="1">
      <alignment horizontal="center" vertical="center" wrapText="1"/>
    </xf>
    <xf numFmtId="0" fontId="36" fillId="0" borderId="23" xfId="55" applyNumberFormat="1" applyFont="1" applyBorder="1" applyAlignment="1">
      <alignment horizontal="center" vertical="center" wrapText="1"/>
    </xf>
    <xf numFmtId="0" fontId="13" fillId="0" borderId="5" xfId="23" applyNumberFormat="1" applyFont="1" applyFill="1" applyBorder="1" applyAlignment="1">
      <alignment horizontal="center" vertical="center" wrapText="1"/>
    </xf>
    <xf numFmtId="0" fontId="13" fillId="0" borderId="6" xfId="23" applyNumberFormat="1" applyFont="1" applyFill="1" applyBorder="1" applyAlignment="1">
      <alignment horizontal="center" vertical="center" wrapText="1"/>
    </xf>
    <xf numFmtId="0" fontId="13" fillId="0" borderId="46" xfId="23" applyNumberFormat="1" applyFont="1" applyFill="1" applyBorder="1" applyAlignment="1">
      <alignment horizontal="center" vertical="center" wrapText="1"/>
    </xf>
    <xf numFmtId="0" fontId="13" fillId="0" borderId="10" xfId="23" applyNumberFormat="1" applyFont="1" applyFill="1" applyBorder="1" applyAlignment="1">
      <alignment horizontal="center" vertical="center" wrapText="1"/>
    </xf>
    <xf numFmtId="0" fontId="13" fillId="0" borderId="0" xfId="23" applyNumberFormat="1" applyFont="1" applyFill="1" applyBorder="1" applyAlignment="1">
      <alignment horizontal="center" vertical="center" wrapText="1"/>
    </xf>
    <xf numFmtId="0" fontId="13" fillId="0" borderId="12" xfId="23" applyNumberFormat="1" applyFont="1" applyFill="1" applyBorder="1" applyAlignment="1">
      <alignment horizontal="center" vertical="center" wrapText="1"/>
    </xf>
    <xf numFmtId="0" fontId="13" fillId="0" borderId="13" xfId="23" applyNumberFormat="1" applyFont="1" applyFill="1" applyBorder="1" applyAlignment="1">
      <alignment horizontal="center" vertical="center" wrapText="1"/>
    </xf>
    <xf numFmtId="0" fontId="13" fillId="0" borderId="14" xfId="23" applyNumberFormat="1" applyFont="1" applyFill="1" applyBorder="1" applyAlignment="1">
      <alignment horizontal="center" vertical="center" wrapText="1"/>
    </xf>
    <xf numFmtId="0" fontId="13" fillId="0" borderId="16" xfId="23" applyNumberFormat="1" applyFont="1" applyFill="1" applyBorder="1" applyAlignment="1">
      <alignment horizontal="center" vertical="center" wrapText="1"/>
    </xf>
    <xf numFmtId="0" fontId="33" fillId="0" borderId="47" xfId="23" applyNumberFormat="1" applyFont="1" applyFill="1" applyBorder="1" applyAlignment="1">
      <alignment horizontal="center" vertical="center" wrapText="1"/>
    </xf>
    <xf numFmtId="0" fontId="33" fillId="0" borderId="46" xfId="23" applyNumberFormat="1" applyFont="1" applyFill="1" applyBorder="1" applyAlignment="1">
      <alignment horizontal="center" vertical="center" wrapText="1"/>
    </xf>
    <xf numFmtId="0" fontId="15" fillId="0" borderId="6" xfId="23" applyNumberFormat="1" applyFont="1" applyFill="1" applyBorder="1" applyAlignment="1">
      <alignment horizontal="center" vertical="center" wrapText="1"/>
    </xf>
    <xf numFmtId="0" fontId="15" fillId="0" borderId="22" xfId="23" applyNumberFormat="1" applyFont="1" applyFill="1" applyBorder="1" applyAlignment="1">
      <alignment horizontal="center" vertical="center" wrapText="1"/>
    </xf>
    <xf numFmtId="0" fontId="15" fillId="0" borderId="0" xfId="23" applyNumberFormat="1" applyFont="1" applyFill="1" applyBorder="1" applyAlignment="1">
      <alignment horizontal="center" vertical="center" wrapText="1"/>
    </xf>
    <xf numFmtId="0" fontId="15" fillId="0" borderId="23" xfId="23" applyNumberFormat="1" applyFont="1" applyFill="1" applyBorder="1" applyAlignment="1">
      <alignment horizontal="center" vertical="center" wrapText="1"/>
    </xf>
    <xf numFmtId="0" fontId="15" fillId="0" borderId="14" xfId="23" applyNumberFormat="1" applyFont="1" applyFill="1" applyBorder="1" applyAlignment="1">
      <alignment horizontal="center" vertical="center" wrapText="1"/>
    </xf>
    <xf numFmtId="0" fontId="15" fillId="0" borderId="48" xfId="23" applyNumberFormat="1" applyFont="1" applyFill="1" applyBorder="1" applyAlignment="1">
      <alignment horizontal="center" vertical="center" wrapText="1"/>
    </xf>
    <xf numFmtId="0" fontId="15" fillId="0" borderId="11" xfId="23" applyNumberFormat="1" applyFont="1" applyFill="1" applyBorder="1" applyAlignment="1">
      <alignment horizontal="center" vertical="center" wrapText="1"/>
    </xf>
    <xf numFmtId="0" fontId="15" fillId="0" borderId="12" xfId="23" applyNumberFormat="1" applyFont="1" applyFill="1" applyBorder="1" applyAlignment="1">
      <alignment horizontal="center" vertical="center" wrapText="1"/>
    </xf>
    <xf numFmtId="0" fontId="15" fillId="0" borderId="15" xfId="23" applyNumberFormat="1" applyFont="1" applyFill="1" applyBorder="1" applyAlignment="1">
      <alignment horizontal="center" vertical="center" wrapText="1"/>
    </xf>
    <xf numFmtId="0" fontId="15" fillId="0" borderId="16" xfId="23" applyNumberFormat="1" applyFont="1" applyFill="1" applyBorder="1" applyAlignment="1">
      <alignment horizontal="center" vertical="center" wrapText="1"/>
    </xf>
    <xf numFmtId="0" fontId="33" fillId="0" borderId="5" xfId="55" applyNumberFormat="1" applyFont="1" applyFill="1" applyBorder="1" applyAlignment="1">
      <alignment horizontal="center" vertical="center" wrapText="1"/>
    </xf>
    <xf numFmtId="0" fontId="33" fillId="0" borderId="6" xfId="55" applyNumberFormat="1" applyFont="1" applyFill="1" applyBorder="1" applyAlignment="1">
      <alignment horizontal="center" vertical="center" wrapText="1"/>
    </xf>
    <xf numFmtId="0" fontId="33" fillId="0" borderId="22" xfId="55" applyNumberFormat="1" applyFont="1" applyFill="1" applyBorder="1" applyAlignment="1">
      <alignment horizontal="center" vertical="center" wrapText="1"/>
    </xf>
    <xf numFmtId="0" fontId="33" fillId="0" borderId="10" xfId="55" applyNumberFormat="1" applyFont="1" applyFill="1" applyBorder="1" applyAlignment="1">
      <alignment horizontal="center" vertical="center" wrapText="1"/>
    </xf>
    <xf numFmtId="0" fontId="33" fillId="0" borderId="0" xfId="55" applyNumberFormat="1" applyFont="1" applyFill="1" applyBorder="1" applyAlignment="1">
      <alignment horizontal="center" vertical="center" wrapText="1"/>
    </xf>
    <xf numFmtId="0" fontId="33" fillId="0" borderId="23" xfId="55" applyNumberFormat="1" applyFont="1" applyFill="1" applyBorder="1" applyAlignment="1">
      <alignment horizontal="center" vertical="center" wrapText="1"/>
    </xf>
    <xf numFmtId="0" fontId="33" fillId="0" borderId="24" xfId="55" applyNumberFormat="1" applyFont="1" applyFill="1" applyBorder="1" applyAlignment="1">
      <alignment horizontal="center" vertical="center" wrapText="1"/>
    </xf>
    <xf numFmtId="0" fontId="33" fillId="0" borderId="25" xfId="55" applyNumberFormat="1" applyFont="1" applyFill="1" applyBorder="1" applyAlignment="1">
      <alignment horizontal="center" vertical="center" wrapText="1"/>
    </xf>
    <xf numFmtId="0" fontId="33" fillId="0" borderId="26" xfId="55" applyNumberFormat="1" applyFont="1" applyFill="1" applyBorder="1" applyAlignment="1">
      <alignment horizontal="center" vertical="center" wrapText="1"/>
    </xf>
    <xf numFmtId="10" fontId="34" fillId="5" borderId="114" xfId="56" applyNumberFormat="1" applyFont="1" applyFill="1" applyBorder="1" applyAlignment="1">
      <alignment horizontal="center" vertical="center"/>
    </xf>
    <xf numFmtId="10" fontId="34" fillId="5" borderId="115" xfId="56" applyNumberFormat="1" applyFont="1" applyFill="1" applyBorder="1" applyAlignment="1">
      <alignment horizontal="center" vertical="center"/>
    </xf>
    <xf numFmtId="10" fontId="34" fillId="5" borderId="72" xfId="56" applyNumberFormat="1" applyFont="1" applyFill="1" applyBorder="1" applyAlignment="1">
      <alignment horizontal="center" vertical="center"/>
    </xf>
    <xf numFmtId="0" fontId="35" fillId="5" borderId="27" xfId="55" applyFont="1" applyFill="1" applyBorder="1" applyAlignment="1">
      <alignment horizontal="center" vertical="center"/>
    </xf>
    <xf numFmtId="0" fontId="35" fillId="5" borderId="28" xfId="55" applyFont="1" applyFill="1" applyBorder="1" applyAlignment="1">
      <alignment horizontal="center" vertical="center"/>
    </xf>
    <xf numFmtId="0" fontId="35" fillId="5" borderId="29" xfId="55" applyFont="1" applyFill="1" applyBorder="1" applyAlignment="1">
      <alignment horizontal="center" vertical="center"/>
    </xf>
    <xf numFmtId="0" fontId="15" fillId="5" borderId="21" xfId="55" applyFont="1" applyFill="1" applyBorder="1" applyAlignment="1">
      <alignment horizontal="center"/>
    </xf>
    <xf numFmtId="4" fontId="17" fillId="0" borderId="6" xfId="55" applyNumberFormat="1" applyFont="1" applyBorder="1" applyAlignment="1">
      <alignment horizontal="left"/>
    </xf>
    <xf numFmtId="4" fontId="17" fillId="0" borderId="22" xfId="55" applyNumberFormat="1" applyFont="1" applyBorder="1" applyAlignment="1">
      <alignment horizontal="left"/>
    </xf>
    <xf numFmtId="4" fontId="17" fillId="0" borderId="0" xfId="55" applyNumberFormat="1" applyFont="1" applyBorder="1" applyAlignment="1">
      <alignment horizontal="left"/>
    </xf>
    <xf numFmtId="4" fontId="17" fillId="0" borderId="23" xfId="55" applyNumberFormat="1" applyFont="1" applyBorder="1" applyAlignment="1">
      <alignment horizontal="left"/>
    </xf>
    <xf numFmtId="4" fontId="17" fillId="0" borderId="0" xfId="55" quotePrefix="1" applyNumberFormat="1" applyFont="1" applyBorder="1" applyAlignment="1">
      <alignment horizontal="left"/>
    </xf>
    <xf numFmtId="0" fontId="17" fillId="5" borderId="21" xfId="55" applyFont="1" applyFill="1" applyBorder="1" applyAlignment="1">
      <alignment horizontal="center" vertical="center"/>
    </xf>
    <xf numFmtId="0" fontId="17" fillId="5" borderId="67" xfId="55" applyFont="1" applyFill="1" applyBorder="1" applyAlignment="1">
      <alignment horizontal="center" vertical="center"/>
    </xf>
    <xf numFmtId="10" fontId="34" fillId="5" borderId="113" xfId="56" applyNumberFormat="1" applyFont="1" applyFill="1" applyBorder="1" applyAlignment="1">
      <alignment horizontal="center" vertical="center"/>
    </xf>
    <xf numFmtId="0" fontId="17" fillId="5" borderId="5" xfId="55" applyFont="1" applyFill="1" applyBorder="1" applyAlignment="1">
      <alignment horizontal="center" vertical="center"/>
    </xf>
    <xf numFmtId="0" fontId="17" fillId="5" borderId="22" xfId="55" applyFont="1" applyFill="1" applyBorder="1" applyAlignment="1">
      <alignment horizontal="center" vertical="center"/>
    </xf>
    <xf numFmtId="0" fontId="17" fillId="5" borderId="13" xfId="55" applyFont="1" applyFill="1" applyBorder="1" applyAlignment="1">
      <alignment horizontal="center" vertical="center"/>
    </xf>
    <xf numFmtId="0" fontId="17" fillId="5" borderId="48" xfId="55" applyFont="1" applyFill="1" applyBorder="1" applyAlignment="1">
      <alignment horizontal="center" vertical="center"/>
    </xf>
    <xf numFmtId="10" fontId="34" fillId="5" borderId="116" xfId="56" applyNumberFormat="1" applyFont="1" applyFill="1" applyBorder="1" applyAlignment="1">
      <alignment horizontal="center" vertical="center"/>
    </xf>
    <xf numFmtId="0" fontId="82" fillId="0" borderId="5" xfId="0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5" fillId="0" borderId="97" xfId="0" applyFont="1" applyBorder="1" applyAlignment="1">
      <alignment horizontal="center" vertical="center"/>
    </xf>
    <xf numFmtId="0" fontId="85" fillId="0" borderId="98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</cellXfs>
  <cellStyles count="167">
    <cellStyle name="20% - Ênfase1" xfId="75" builtinId="30" customBuiltin="1"/>
    <cellStyle name="20% - Ênfase1 2" xfId="99"/>
    <cellStyle name="20% - Ênfase2" xfId="79" builtinId="34" customBuiltin="1"/>
    <cellStyle name="20% - Ênfase2 2" xfId="100"/>
    <cellStyle name="20% - Ênfase3" xfId="83" builtinId="38" customBuiltin="1"/>
    <cellStyle name="20% - Ênfase3 2" xfId="101"/>
    <cellStyle name="20% - Ênfase4" xfId="87" builtinId="42" customBuiltin="1"/>
    <cellStyle name="20% - Ênfase4 2" xfId="102"/>
    <cellStyle name="20% - Ênfase5" xfId="91" builtinId="46" customBuiltin="1"/>
    <cellStyle name="20% - Ênfase5 2" xfId="103"/>
    <cellStyle name="20% - Ênfase6" xfId="95" builtinId="50" customBuiltin="1"/>
    <cellStyle name="20% - Ênfase6 2" xfId="104"/>
    <cellStyle name="40% - Ênfase1" xfId="76" builtinId="31" customBuiltin="1"/>
    <cellStyle name="40% - Ênfase1 2" xfId="105"/>
    <cellStyle name="40% - Ênfase2" xfId="80" builtinId="35" customBuiltin="1"/>
    <cellStyle name="40% - Ênfase2 2" xfId="106"/>
    <cellStyle name="40% - Ênfase3" xfId="84" builtinId="39" customBuiltin="1"/>
    <cellStyle name="40% - Ênfase3 2" xfId="107"/>
    <cellStyle name="40% - Ênfase4" xfId="88" builtinId="43" customBuiltin="1"/>
    <cellStyle name="40% - Ênfase4 2" xfId="108"/>
    <cellStyle name="40% - Ênfase5" xfId="92" builtinId="47" customBuiltin="1"/>
    <cellStyle name="40% - Ênfase5 2" xfId="109"/>
    <cellStyle name="40% - Ênfase6" xfId="96" builtinId="51" customBuiltin="1"/>
    <cellStyle name="40% - Ênfase6 2" xfId="110"/>
    <cellStyle name="60% - Ênfase1" xfId="77" builtinId="32" customBuiltin="1"/>
    <cellStyle name="60% - Ênfase1 2" xfId="111"/>
    <cellStyle name="60% - Ênfase2" xfId="81" builtinId="36" customBuiltin="1"/>
    <cellStyle name="60% - Ênfase2 2" xfId="112"/>
    <cellStyle name="60% - Ênfase3" xfId="85" builtinId="40" customBuiltin="1"/>
    <cellStyle name="60% - Ênfase3 2" xfId="113"/>
    <cellStyle name="60% - Ênfase4" xfId="89" builtinId="44" customBuiltin="1"/>
    <cellStyle name="60% - Ênfase4 2" xfId="114"/>
    <cellStyle name="60% - Ênfase5" xfId="93" builtinId="48" customBuiltin="1"/>
    <cellStyle name="60% - Ênfase5 2" xfId="115"/>
    <cellStyle name="60% - Ênfase6" xfId="97" builtinId="52" customBuiltin="1"/>
    <cellStyle name="60% - Ênfase6 2" xfId="116"/>
    <cellStyle name="Bom" xfId="65" builtinId="26" customBuiltin="1"/>
    <cellStyle name="Bom 2" xfId="117"/>
    <cellStyle name="Cálculo" xfId="68" builtinId="22" customBuiltin="1"/>
    <cellStyle name="Cálculo 2" xfId="118"/>
    <cellStyle name="Cancel" xfId="4"/>
    <cellStyle name="Cancel 2" xfId="5"/>
    <cellStyle name="Célula de Verificação" xfId="70" builtinId="23" customBuiltin="1"/>
    <cellStyle name="Célula de Verificação 2" xfId="119"/>
    <cellStyle name="Célula Vinculada" xfId="69" builtinId="24" customBuiltin="1"/>
    <cellStyle name="Célula Vinculada 2" xfId="120"/>
    <cellStyle name="Ênfase1" xfId="74" builtinId="29" customBuiltin="1"/>
    <cellStyle name="Ênfase1 2" xfId="121"/>
    <cellStyle name="Ênfase2" xfId="78" builtinId="33" customBuiltin="1"/>
    <cellStyle name="Ênfase2 2" xfId="122"/>
    <cellStyle name="Ênfase3" xfId="82" builtinId="37" customBuiltin="1"/>
    <cellStyle name="Ênfase3 2" xfId="123"/>
    <cellStyle name="Ênfase4" xfId="86" builtinId="41" customBuiltin="1"/>
    <cellStyle name="Ênfase4 2" xfId="124"/>
    <cellStyle name="Ênfase5" xfId="90" builtinId="45" customBuiltin="1"/>
    <cellStyle name="Ênfase5 2" xfId="125"/>
    <cellStyle name="Ênfase6" xfId="94" builtinId="49" customBuiltin="1"/>
    <cellStyle name="Ênfase6 2" xfId="126"/>
    <cellStyle name="Entrada" xfId="66" builtinId="20" customBuiltin="1"/>
    <cellStyle name="Entrada 2" xfId="127"/>
    <cellStyle name="Estilo 1" xfId="6"/>
    <cellStyle name="Euro" xfId="7"/>
    <cellStyle name="Hiperlink 2" xfId="8"/>
    <cellStyle name="Hiperlink 3" xfId="9"/>
    <cellStyle name="Incorreto 2" xfId="128"/>
    <cellStyle name="Moeda" xfId="1" builtinId="4"/>
    <cellStyle name="Moeda 2" xfId="11"/>
    <cellStyle name="Moeda 2 2" xfId="12"/>
    <cellStyle name="Moeda 3" xfId="13"/>
    <cellStyle name="Moeda 3 2" xfId="14"/>
    <cellStyle name="Moeda 4" xfId="15"/>
    <cellStyle name="Moeda 5" xfId="16"/>
    <cellStyle name="Moeda 6" xfId="17"/>
    <cellStyle name="Moeda 7" xfId="18"/>
    <cellStyle name="Moeda 8" xfId="10"/>
    <cellStyle name="Moeda0" xfId="129"/>
    <cellStyle name="Neutra 2" xfId="130"/>
    <cellStyle name="Normal" xfId="0" builtinId="0"/>
    <cellStyle name="Normal 10" xfId="98"/>
    <cellStyle name="Normal 14" xfId="19"/>
    <cellStyle name="Normal 18" xfId="20"/>
    <cellStyle name="Normal 2" xfId="21"/>
    <cellStyle name="Normal 2 2" xfId="22"/>
    <cellStyle name="Normal 2 2 2" xfId="55"/>
    <cellStyle name="Normal 2 2 2 2" xfId="132"/>
    <cellStyle name="Normal 2 2 3" xfId="131"/>
    <cellStyle name="Normal 2 3" xfId="23"/>
    <cellStyle name="Normal 2 3 2" xfId="59"/>
    <cellStyle name="Normal 2 3 3" xfId="133"/>
    <cellStyle name="Normal 2 4" xfId="24"/>
    <cellStyle name="Normal 3" xfId="25"/>
    <cellStyle name="Normal 3 2" xfId="26"/>
    <cellStyle name="Normal 3 2 2" xfId="135"/>
    <cellStyle name="Normal 3 3" xfId="27"/>
    <cellStyle name="Normal 3 3 2" xfId="136"/>
    <cellStyle name="Normal 3 4" xfId="134"/>
    <cellStyle name="Normal 4" xfId="28"/>
    <cellStyle name="Normal 4 2" xfId="29"/>
    <cellStyle name="Normal 4 2 2" xfId="138"/>
    <cellStyle name="Normal 4 3" xfId="50"/>
    <cellStyle name="Normal 4 4" xfId="57"/>
    <cellStyle name="Normal 4 5" xfId="137"/>
    <cellStyle name="Normal 5" xfId="3"/>
    <cellStyle name="Normal 5 2" xfId="140"/>
    <cellStyle name="Normal 5 3" xfId="139"/>
    <cellStyle name="Normal 6" xfId="51"/>
    <cellStyle name="Normal 6 2" xfId="141"/>
    <cellStyle name="Normal 7" xfId="30"/>
    <cellStyle name="Normal 7 2" xfId="142"/>
    <cellStyle name="Normal 8" xfId="31"/>
    <cellStyle name="Normal 8 2" xfId="143"/>
    <cellStyle name="Normal 9" xfId="54"/>
    <cellStyle name="Normal 9 2" xfId="144"/>
    <cellStyle name="Normal 9 3" xfId="166"/>
    <cellStyle name="Normal_Pesquisa no referencial 10 de maio de 2013" xfId="165"/>
    <cellStyle name="Nota 2" xfId="145"/>
    <cellStyle name="Nota 3" xfId="146"/>
    <cellStyle name="Percentagem 2" xfId="32"/>
    <cellStyle name="Percentagem 3" xfId="56"/>
    <cellStyle name="Porcentagem" xfId="2" builtinId="5"/>
    <cellStyle name="Porcentagem 2" xfId="33"/>
    <cellStyle name="Porcentagem 2 2" xfId="34"/>
    <cellStyle name="Porcentagem 2 2 2" xfId="148"/>
    <cellStyle name="Porcentagem 2 3" xfId="49"/>
    <cellStyle name="Porcentagem 2 4" xfId="147"/>
    <cellStyle name="Porcentagem 3" xfId="35"/>
    <cellStyle name="Porcentagem 3 2" xfId="36"/>
    <cellStyle name="Porcentagem 3 3" xfId="37"/>
    <cellStyle name="Porcentagem 3 4" xfId="58"/>
    <cellStyle name="Saída" xfId="67" builtinId="21" customBuiltin="1"/>
    <cellStyle name="Saída 2" xfId="149"/>
    <cellStyle name="Separador de m" xfId="150"/>
    <cellStyle name="Separador de milhares 2" xfId="39"/>
    <cellStyle name="Separador de milhares 2 2" xfId="40"/>
    <cellStyle name="Separador de milhares 2 2 2" xfId="153"/>
    <cellStyle name="Separador de milhares 2 2 3" xfId="152"/>
    <cellStyle name="Separador de milhares 2 3" xfId="41"/>
    <cellStyle name="Separador de milhares 2 3 2" xfId="154"/>
    <cellStyle name="Separador de milhares 2 4" xfId="151"/>
    <cellStyle name="Separador de milhares 3" xfId="42"/>
    <cellStyle name="Separador de milhares_ANEXO III - PLANILHA ESTIMATIVA DE PREÇOS - UBERLANDIA-eletrica" xfId="155"/>
    <cellStyle name="TableStyleLight1" xfId="156"/>
    <cellStyle name="Texto de Aviso" xfId="71" builtinId="11" customBuiltin="1"/>
    <cellStyle name="Texto de Aviso 2" xfId="157"/>
    <cellStyle name="Texto Explicativo" xfId="72" builtinId="53" customBuiltin="1"/>
    <cellStyle name="Texto Explicativo 2" xfId="158"/>
    <cellStyle name="Título" xfId="60" builtinId="15" customBuiltin="1"/>
    <cellStyle name="Título 1" xfId="61" builtinId="16" customBuiltin="1"/>
    <cellStyle name="Título 1 1" xfId="159"/>
    <cellStyle name="Título 1 2" xfId="160"/>
    <cellStyle name="Título 2" xfId="62" builtinId="17" customBuiltin="1"/>
    <cellStyle name="Título 2 2" xfId="161"/>
    <cellStyle name="Título 3" xfId="63" builtinId="18" customBuiltin="1"/>
    <cellStyle name="Título 3 2" xfId="162"/>
    <cellStyle name="Título 4" xfId="64" builtinId="19" customBuiltin="1"/>
    <cellStyle name="Título 4 2" xfId="163"/>
    <cellStyle name="Total" xfId="73" builtinId="25" customBuiltin="1"/>
    <cellStyle name="Total 2" xfId="164"/>
    <cellStyle name="Vírgula 2" xfId="43"/>
    <cellStyle name="Vírgula 2 2" xfId="44"/>
    <cellStyle name="Vírgula 2 3" xfId="52"/>
    <cellStyle name="Vírgula 3" xfId="45"/>
    <cellStyle name="Vírgula 3 2" xfId="46"/>
    <cellStyle name="Vírgula 4" xfId="47"/>
    <cellStyle name="Vírgula 5" xfId="48"/>
    <cellStyle name="Vírgula 6" xfId="38"/>
    <cellStyle name="Vírgula 7" xfId="53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76199</xdr:rowOff>
    </xdr:from>
    <xdr:to>
      <xdr:col>1</xdr:col>
      <xdr:colOff>438150</xdr:colOff>
      <xdr:row>3</xdr:row>
      <xdr:rowOff>95249</xdr:rowOff>
    </xdr:to>
    <xdr:pic>
      <xdr:nvPicPr>
        <xdr:cNvPr id="2" name="Imagem 1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199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28575</xdr:rowOff>
    </xdr:from>
    <xdr:to>
      <xdr:col>3</xdr:col>
      <xdr:colOff>257175</xdr:colOff>
      <xdr:row>0</xdr:row>
      <xdr:rowOff>1057275</xdr:rowOff>
    </xdr:to>
    <xdr:pic>
      <xdr:nvPicPr>
        <xdr:cNvPr id="3" name="Imagem 2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838200" cy="1028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76199</xdr:rowOff>
    </xdr:from>
    <xdr:to>
      <xdr:col>1</xdr:col>
      <xdr:colOff>438150</xdr:colOff>
      <xdr:row>3</xdr:row>
      <xdr:rowOff>95249</xdr:rowOff>
    </xdr:to>
    <xdr:pic>
      <xdr:nvPicPr>
        <xdr:cNvPr id="3" name="Imagem 2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199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33617</xdr:rowOff>
    </xdr:from>
    <xdr:to>
      <xdr:col>2</xdr:col>
      <xdr:colOff>603080</xdr:colOff>
      <xdr:row>3</xdr:row>
      <xdr:rowOff>190500</xdr:rowOff>
    </xdr:to>
    <xdr:pic>
      <xdr:nvPicPr>
        <xdr:cNvPr id="4" name="Imagem 3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23" y="709892"/>
          <a:ext cx="747993" cy="7457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77560</xdr:rowOff>
    </xdr:from>
    <xdr:to>
      <xdr:col>0</xdr:col>
      <xdr:colOff>641849</xdr:colOff>
      <xdr:row>1</xdr:row>
      <xdr:rowOff>258535</xdr:rowOff>
    </xdr:to>
    <xdr:pic>
      <xdr:nvPicPr>
        <xdr:cNvPr id="3" name="Imagem 2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21" y="77560"/>
          <a:ext cx="641849" cy="64361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158751</xdr:colOff>
      <xdr:row>1</xdr:row>
      <xdr:rowOff>74084</xdr:rowOff>
    </xdr:from>
    <xdr:to>
      <xdr:col>2</xdr:col>
      <xdr:colOff>896196</xdr:colOff>
      <xdr:row>1</xdr:row>
      <xdr:rowOff>702948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51" y="264584"/>
          <a:ext cx="1351278" cy="628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228600</xdr:rowOff>
    </xdr:from>
    <xdr:to>
      <xdr:col>1</xdr:col>
      <xdr:colOff>3305175</xdr:colOff>
      <xdr:row>3</xdr:row>
      <xdr:rowOff>361950</xdr:rowOff>
    </xdr:to>
    <xdr:pic>
      <xdr:nvPicPr>
        <xdr:cNvPr id="2" name="Imagem 1" descr="Prefeitura Municipal de Cuiabá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4162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582084</xdr:colOff>
      <xdr:row>0</xdr:row>
      <xdr:rowOff>116417</xdr:rowOff>
    </xdr:from>
    <xdr:to>
      <xdr:col>1</xdr:col>
      <xdr:colOff>958851</xdr:colOff>
      <xdr:row>3</xdr:row>
      <xdr:rowOff>176929</xdr:rowOff>
    </xdr:to>
    <xdr:pic>
      <xdr:nvPicPr>
        <xdr:cNvPr id="3" name="Imagem 2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4" y="116417"/>
          <a:ext cx="990600" cy="990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47625</xdr:rowOff>
    </xdr:from>
    <xdr:to>
      <xdr:col>1</xdr:col>
      <xdr:colOff>1162050</xdr:colOff>
      <xdr:row>2</xdr:row>
      <xdr:rowOff>295275</xdr:rowOff>
    </xdr:to>
    <xdr:pic>
      <xdr:nvPicPr>
        <xdr:cNvPr id="6" name="Imagem 5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7625"/>
          <a:ext cx="838200" cy="838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323850</xdr:colOff>
      <xdr:row>0</xdr:row>
      <xdr:rowOff>47625</xdr:rowOff>
    </xdr:from>
    <xdr:to>
      <xdr:col>1</xdr:col>
      <xdr:colOff>1162050</xdr:colOff>
      <xdr:row>2</xdr:row>
      <xdr:rowOff>295275</xdr:rowOff>
    </xdr:to>
    <xdr:pic>
      <xdr:nvPicPr>
        <xdr:cNvPr id="8" name="Imagem 7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7625"/>
          <a:ext cx="838200" cy="838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171450</xdr:rowOff>
    </xdr:from>
    <xdr:to>
      <xdr:col>6</xdr:col>
      <xdr:colOff>1228725</xdr:colOff>
      <xdr:row>22</xdr:row>
      <xdr:rowOff>76200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1995" t="58992" r="44503" b="26032"/>
        <a:stretch/>
      </xdr:blipFill>
      <xdr:spPr>
        <a:xfrm>
          <a:off x="6696075" y="3695700"/>
          <a:ext cx="3057525" cy="1095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1</xdr:col>
      <xdr:colOff>512669</xdr:colOff>
      <xdr:row>2</xdr:row>
      <xdr:rowOff>245969</xdr:rowOff>
    </xdr:to>
    <xdr:pic>
      <xdr:nvPicPr>
        <xdr:cNvPr id="4" name="Imagem 3" descr="http://www.orlandia.sp.gov.br/novo/wp-content/uploads/2017/01/brasaoorlandia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"/>
          <a:ext cx="750794" cy="75079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-HP\Users\pmc\Documents\Downloads\REVIS&#195;O%2002%20-%20L&#211;GICA\LOGICA%20EM%2022-07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dos\Departamentos\Engenharia\Eugenio\000%20CLIMATIZA&#199;&#195;O%20DAS%20ESCOLAS\PLANILHAS%20OR&#199;AMENT&#193;RIAS\2023\Planilha%20Or&#231;ament&#225;ria%20EQUIPAMENTOS%20EVENTILA&#199;&#195;O%20-%20Rev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dos\Departamentos\Engenharia\Eugenio\000%20CLIMATIZA&#199;&#195;O%20DAS%20ESCOLAS\PLANILHAS%20OR&#199;AMENT&#193;RIAS\2023\Planilha%20Or&#231;ament&#225;ria%20SPDA%20-%20Rev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-SINTETICO"/>
      <sheetName val="SINAPI-01-2014"/>
      <sheetName val="MAPA COTAÇÃO (MC01)"/>
      <sheetName val="estimativa de custo IRMA DULCE"/>
      <sheetName val="ELÉTRICA"/>
      <sheetName val="INFRA"/>
      <sheetName val="LÓGICA 2"/>
      <sheetName val="LÓGICA 22"/>
    </sheetNames>
    <sheetDataSet>
      <sheetData sheetId="0"/>
      <sheetData sheetId="1"/>
      <sheetData sheetId="2"/>
      <sheetData sheetId="3">
        <row r="6">
          <cell r="B6" t="str">
            <v>CASA IRMÃ DULCE</v>
          </cell>
          <cell r="C6">
            <v>0</v>
          </cell>
          <cell r="D6">
            <v>0</v>
          </cell>
          <cell r="I6">
            <v>0.87370000000000003</v>
          </cell>
        </row>
        <row r="7">
          <cell r="B7" t="str">
            <v>RUA PEDRO CELESTINO, Nº 72 E 82, BAIRRO CENTRO, CUIABÁ - MATO GROSSO</v>
          </cell>
          <cell r="C7">
            <v>0</v>
          </cell>
          <cell r="D7">
            <v>0</v>
          </cell>
          <cell r="I7">
            <v>0.27279999999999999</v>
          </cell>
        </row>
      </sheetData>
      <sheetData sheetId="4">
        <row r="25">
          <cell r="F25">
            <v>25.390000000000004</v>
          </cell>
        </row>
      </sheetData>
      <sheetData sheetId="5">
        <row r="27">
          <cell r="F27">
            <v>2.8000000000000003</v>
          </cell>
        </row>
        <row r="44">
          <cell r="F44">
            <v>10.09</v>
          </cell>
        </row>
        <row r="62">
          <cell r="F62">
            <v>12.790000000000001</v>
          </cell>
        </row>
        <row r="80">
          <cell r="F80">
            <v>46.55</v>
          </cell>
        </row>
        <row r="98">
          <cell r="F98">
            <v>27</v>
          </cell>
        </row>
        <row r="116">
          <cell r="F116">
            <v>29.27</v>
          </cell>
        </row>
        <row r="134">
          <cell r="F134">
            <v>22.459999999999997</v>
          </cell>
        </row>
        <row r="152">
          <cell r="F152">
            <v>21.23</v>
          </cell>
        </row>
        <row r="170">
          <cell r="F170">
            <v>6.5099999999999989</v>
          </cell>
        </row>
        <row r="188">
          <cell r="F188">
            <v>4.9800000000000004</v>
          </cell>
        </row>
        <row r="206">
          <cell r="F206">
            <v>22.68</v>
          </cell>
        </row>
        <row r="224">
          <cell r="F224">
            <v>13.27</v>
          </cell>
        </row>
        <row r="242">
          <cell r="F242">
            <v>2.9060000000000006</v>
          </cell>
        </row>
        <row r="261">
          <cell r="F261">
            <v>2.6460000000000004</v>
          </cell>
        </row>
        <row r="279">
          <cell r="F279">
            <v>0.39760000000000001</v>
          </cell>
        </row>
        <row r="297">
          <cell r="F297">
            <v>3.98</v>
          </cell>
        </row>
        <row r="315">
          <cell r="F315">
            <v>4.2699999999999996</v>
          </cell>
        </row>
        <row r="334">
          <cell r="F334">
            <v>125.10000000000001</v>
          </cell>
        </row>
        <row r="352">
          <cell r="F352">
            <v>9.11</v>
          </cell>
        </row>
        <row r="370">
          <cell r="F370">
            <v>43.54</v>
          </cell>
        </row>
        <row r="388">
          <cell r="F388">
            <v>11.78</v>
          </cell>
        </row>
        <row r="406">
          <cell r="F406">
            <v>104.63000000000001</v>
          </cell>
        </row>
        <row r="424">
          <cell r="F424">
            <v>92.77</v>
          </cell>
        </row>
        <row r="442">
          <cell r="F442">
            <v>130.80000000000001</v>
          </cell>
        </row>
        <row r="460">
          <cell r="F460">
            <v>68.009999999999991</v>
          </cell>
        </row>
        <row r="478">
          <cell r="F478">
            <v>6.5399999999999991</v>
          </cell>
        </row>
        <row r="496">
          <cell r="F496">
            <v>77.89</v>
          </cell>
        </row>
        <row r="514">
          <cell r="F514">
            <v>33.94</v>
          </cell>
        </row>
        <row r="532">
          <cell r="F532">
            <v>3.9999999999999996</v>
          </cell>
        </row>
      </sheetData>
      <sheetData sheetId="6">
        <row r="24">
          <cell r="F24">
            <v>8.7899999999999991</v>
          </cell>
        </row>
        <row r="42">
          <cell r="F42">
            <v>20.28</v>
          </cell>
        </row>
        <row r="78">
          <cell r="F78">
            <v>54.65</v>
          </cell>
        </row>
        <row r="96">
          <cell r="F96">
            <v>1.37</v>
          </cell>
        </row>
        <row r="116">
          <cell r="F116">
            <v>93.740000000000009</v>
          </cell>
        </row>
        <row r="134">
          <cell r="F134">
            <v>22.82</v>
          </cell>
        </row>
        <row r="155">
          <cell r="F155">
            <v>372.28999999999996</v>
          </cell>
        </row>
        <row r="177">
          <cell r="F177">
            <v>1567.1299999999997</v>
          </cell>
        </row>
        <row r="195">
          <cell r="F195">
            <v>1038.8</v>
          </cell>
        </row>
        <row r="213">
          <cell r="F213">
            <v>300.60000000000002</v>
          </cell>
        </row>
        <row r="231">
          <cell r="F231">
            <v>41.78</v>
          </cell>
        </row>
        <row r="249">
          <cell r="F249">
            <v>48.029999999999994</v>
          </cell>
        </row>
        <row r="267">
          <cell r="F267">
            <v>55.91</v>
          </cell>
        </row>
        <row r="285">
          <cell r="F285">
            <v>11.819999999999999</v>
          </cell>
        </row>
        <row r="303">
          <cell r="F303">
            <v>1.5000000000000002</v>
          </cell>
        </row>
        <row r="321">
          <cell r="F321">
            <v>2.59</v>
          </cell>
        </row>
        <row r="339">
          <cell r="F339">
            <v>3821.9100000000003</v>
          </cell>
        </row>
        <row r="357">
          <cell r="F357">
            <v>24.71</v>
          </cell>
        </row>
        <row r="374">
          <cell r="F374">
            <v>16.48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</sheetNames>
    <sheetDataSet>
      <sheetData sheetId="0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MAPA QUANTITATIVO"/>
      <sheetName val="MAPA DE ORÇAMENTOS"/>
      <sheetName val="MAPA DE COTAÇÃO MC01"/>
      <sheetName val="MAPA COTAÇÃO MC02"/>
      <sheetName val="BDI"/>
      <sheetName val="LEIS SOCIAIS"/>
    </sheetNames>
    <sheetDataSet>
      <sheetData sheetId="0">
        <row r="2">
          <cell r="B2" t="str">
            <v>PREFEITURA MUNICIPAL DE ORLÂNDIA</v>
          </cell>
        </row>
        <row r="6">
          <cell r="B6" t="str">
            <v>OBRA:</v>
          </cell>
          <cell r="C6" t="str">
            <v>CLIMATIZAÇÃO ESCOLAS</v>
          </cell>
        </row>
        <row r="7">
          <cell r="B7" t="str">
            <v>END.:</v>
          </cell>
          <cell r="C7" t="str">
            <v>PRAÇA CORONEL ORLANDO, Nº 600 - CENTRO - ORLÂNDIA-SP</v>
          </cell>
        </row>
      </sheetData>
      <sheetData sheetId="1">
        <row r="3">
          <cell r="F3" t="str">
            <v>CLIMATIZAÇÃO ESCOLAS</v>
          </cell>
        </row>
        <row r="5">
          <cell r="F5" t="str">
            <v>PRAÇA CORONEL ORLANDO, Nº 600 - CENTRO - ORLÂNDIA-SP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OMPOSIÇÕES"/>
      <sheetName val="MAPA DE ORÇAMENTOS"/>
      <sheetName val="MEM. DE CÁLCULO"/>
      <sheetName val="CRONOGRAMA"/>
      <sheetName val="MAPA DE COTAÇÃO MC01"/>
      <sheetName val="MAPA COTAÇÃO MC02"/>
      <sheetName val="BDI"/>
      <sheetName val="LEIS SOCIAIS"/>
    </sheetNames>
    <sheetDataSet>
      <sheetData sheetId="0"/>
      <sheetData sheetId="1">
        <row r="17">
          <cell r="F17" t="str">
            <v>SERVIÇOS PRELIMINARES</v>
          </cell>
        </row>
        <row r="18">
          <cell r="G18" t="str">
            <v>M²</v>
          </cell>
        </row>
        <row r="77">
          <cell r="G77" t="str">
            <v>M²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view="pageBreakPreview" topLeftCell="A25" zoomScaleNormal="100" zoomScaleSheetLayoutView="100" workbookViewId="0">
      <selection activeCell="E18" sqref="E18"/>
    </sheetView>
  </sheetViews>
  <sheetFormatPr defaultColWidth="9.109375" defaultRowHeight="14.4"/>
  <cols>
    <col min="1" max="1" width="9.109375" style="528"/>
    <col min="2" max="2" width="74.33203125" style="274" customWidth="1"/>
    <col min="3" max="5" width="23.44140625" style="274" customWidth="1"/>
    <col min="6" max="6" width="14.109375" style="274" customWidth="1"/>
    <col min="7" max="16384" width="9.109375" style="274"/>
  </cols>
  <sheetData>
    <row r="1" spans="1:7" ht="25.2">
      <c r="A1" s="538" t="s">
        <v>407</v>
      </c>
      <c r="B1" s="539"/>
      <c r="C1" s="539"/>
      <c r="D1" s="539"/>
      <c r="E1" s="539"/>
      <c r="F1" s="540"/>
    </row>
    <row r="2" spans="1:7" ht="18.600000000000001">
      <c r="A2" s="541" t="s">
        <v>408</v>
      </c>
      <c r="B2" s="542"/>
      <c r="C2" s="542"/>
      <c r="D2" s="542"/>
      <c r="E2" s="542"/>
      <c r="F2" s="543"/>
    </row>
    <row r="3" spans="1:7" ht="18.600000000000001">
      <c r="A3" s="186"/>
      <c r="B3" s="522"/>
      <c r="C3" s="522"/>
      <c r="D3" s="522"/>
      <c r="E3" s="522"/>
      <c r="F3" s="523"/>
    </row>
    <row r="4" spans="1:7" ht="10.5" customHeight="1">
      <c r="A4" s="521"/>
      <c r="B4" s="522"/>
      <c r="C4" s="522"/>
      <c r="D4" s="522"/>
      <c r="E4" s="522"/>
      <c r="F4" s="523"/>
    </row>
    <row r="5" spans="1:7" ht="18" customHeight="1">
      <c r="A5" s="187" t="s">
        <v>0</v>
      </c>
      <c r="B5" s="544" t="s">
        <v>409</v>
      </c>
      <c r="C5" s="544"/>
      <c r="D5" s="544"/>
      <c r="E5" s="544"/>
      <c r="F5" s="545"/>
    </row>
    <row r="6" spans="1:7" ht="18" customHeight="1" thickBot="1">
      <c r="A6" s="188" t="s">
        <v>1</v>
      </c>
      <c r="B6" s="546" t="s">
        <v>410</v>
      </c>
      <c r="C6" s="546"/>
      <c r="D6" s="546"/>
      <c r="E6" s="546"/>
      <c r="F6" s="547"/>
    </row>
    <row r="7" spans="1:7" ht="19.2" thickBot="1">
      <c r="A7" s="548" t="s">
        <v>2</v>
      </c>
      <c r="B7" s="549"/>
      <c r="C7" s="549"/>
      <c r="D7" s="549"/>
      <c r="E7" s="549"/>
      <c r="F7" s="550"/>
    </row>
    <row r="8" spans="1:7" s="120" customFormat="1" ht="29.4" thickBot="1">
      <c r="A8" s="56" t="s">
        <v>3</v>
      </c>
      <c r="B8" s="249" t="s">
        <v>4</v>
      </c>
      <c r="C8" s="56" t="s">
        <v>2468</v>
      </c>
      <c r="D8" s="57" t="s">
        <v>2469</v>
      </c>
      <c r="E8" s="56" t="s">
        <v>2470</v>
      </c>
      <c r="F8" s="56" t="s">
        <v>6</v>
      </c>
    </row>
    <row r="9" spans="1:7" s="7" customFormat="1">
      <c r="A9" s="240" t="str">
        <f>ORÇAMENTO!B8</f>
        <v>1.0</v>
      </c>
      <c r="B9" s="243" t="str">
        <f>ORÇAMENTO!E8</f>
        <v>E.M.E.B. IRACEMA MIELE</v>
      </c>
      <c r="C9" s="386">
        <f>ORÇAMENTO!J80</f>
        <v>274660.20158111973</v>
      </c>
      <c r="D9" s="386">
        <v>77924.59</v>
      </c>
      <c r="E9" s="386">
        <f>C9+D9</f>
        <v>352584.79158111976</v>
      </c>
      <c r="F9" s="242">
        <f>C9/C33</f>
        <v>6.1221160861556483E-2</v>
      </c>
      <c r="G9" s="513"/>
    </row>
    <row r="10" spans="1:7" s="7" customFormat="1">
      <c r="A10" s="246" t="str">
        <f>ORÇAMENTO!B81</f>
        <v>2.0</v>
      </c>
      <c r="B10" s="247" t="str">
        <f>ORÇAMENTO!E81</f>
        <v>E.M.E.B.PROF. MARIA APARECIDA</v>
      </c>
      <c r="C10" s="385">
        <f>ORÇAMENTO!J150</f>
        <v>274216.63096741971</v>
      </c>
      <c r="D10" s="385">
        <v>99316.67</v>
      </c>
      <c r="E10" s="386">
        <f t="shared" ref="E10:E32" si="0">C10+D10</f>
        <v>373533.30096741969</v>
      </c>
      <c r="F10" s="248">
        <f t="shared" ref="F10:F31" si="1">C10/C$33</f>
        <v>6.1122289937634987E-2</v>
      </c>
    </row>
    <row r="11" spans="1:7" s="7" customFormat="1">
      <c r="A11" s="240" t="str">
        <f>ORÇAMENTO!B151</f>
        <v>3.0</v>
      </c>
      <c r="B11" s="243" t="str">
        <f>ORÇAMENTO!E151</f>
        <v>E.M.E.B. PROFESSORA SYLVIA FERREIRA JORGE SCHAFFER</v>
      </c>
      <c r="C11" s="386">
        <f>ORÇAMENTO!J231</f>
        <v>451359.56149061932</v>
      </c>
      <c r="D11" s="385">
        <v>99316.67</v>
      </c>
      <c r="E11" s="386">
        <f t="shared" si="0"/>
        <v>550676.23149061936</v>
      </c>
      <c r="F11" s="248">
        <f t="shared" si="1"/>
        <v>0.10060706342363031</v>
      </c>
    </row>
    <row r="12" spans="1:7" s="7" customFormat="1">
      <c r="A12" s="240" t="str">
        <f>ORÇAMENTO!B232</f>
        <v>4.0</v>
      </c>
      <c r="B12" s="243" t="str">
        <f>ORÇAMENTO!E232</f>
        <v>C.E.I IZAURA ROQUE</v>
      </c>
      <c r="C12" s="386">
        <f>ORÇAMENTO!J294</f>
        <v>175620.31854962901</v>
      </c>
      <c r="D12" s="385">
        <v>70779.61</v>
      </c>
      <c r="E12" s="386">
        <f t="shared" si="0"/>
        <v>246399.928549629</v>
      </c>
      <c r="F12" s="248">
        <f t="shared" si="1"/>
        <v>3.9145386592564509E-2</v>
      </c>
    </row>
    <row r="13" spans="1:7" s="7" customFormat="1">
      <c r="A13" s="240" t="str">
        <f>ORÇAMENTO!B295</f>
        <v>5.0</v>
      </c>
      <c r="B13" s="243" t="str">
        <f>ORÇAMENTO!E295</f>
        <v>C.E.I.FERNANDA DA SILVA FONSECA</v>
      </c>
      <c r="C13" s="386">
        <f>ORÇAMENTO!J364</f>
        <v>178056.92271059318</v>
      </c>
      <c r="D13" s="385">
        <v>70779.61</v>
      </c>
      <c r="E13" s="386">
        <f t="shared" si="0"/>
        <v>248836.53271059319</v>
      </c>
      <c r="F13" s="248">
        <f t="shared" si="1"/>
        <v>3.9688500354353062E-2</v>
      </c>
    </row>
    <row r="14" spans="1:7" s="7" customFormat="1">
      <c r="A14" s="240" t="str">
        <f>ORÇAMENTO!B365</f>
        <v>6.0</v>
      </c>
      <c r="B14" s="243" t="str">
        <f>ORÇAMENTO!E365</f>
        <v>C.E.I. FRANCISCO SALLES DE ABREU SAMPAIO</v>
      </c>
      <c r="C14" s="386">
        <f>ORÇAMENTO!J425</f>
        <v>206996.4608255222</v>
      </c>
      <c r="D14" s="385">
        <v>77924.59</v>
      </c>
      <c r="E14" s="386">
        <f t="shared" si="0"/>
        <v>284921.05082552216</v>
      </c>
      <c r="F14" s="248">
        <f t="shared" si="1"/>
        <v>4.6139060384507075E-2</v>
      </c>
    </row>
    <row r="15" spans="1:7" s="7" customFormat="1">
      <c r="A15" s="240" t="str">
        <f>ORÇAMENTO!B426</f>
        <v>7.0</v>
      </c>
      <c r="B15" s="243" t="str">
        <f>ORÇAMENTO!E426</f>
        <v>C.A.E.C. 1 - CENTRO DE ATIVIDADE EDUC COMPLEMENTAR 1</v>
      </c>
      <c r="C15" s="386">
        <f>ORÇAMENTO!J476</f>
        <v>123141.42094166984</v>
      </c>
      <c r="D15" s="385"/>
      <c r="E15" s="386">
        <f t="shared" si="0"/>
        <v>123141.42094166984</v>
      </c>
      <c r="F15" s="248">
        <f t="shared" si="1"/>
        <v>2.7447954588222488E-2</v>
      </c>
    </row>
    <row r="16" spans="1:7" s="7" customFormat="1">
      <c r="A16" s="240" t="str">
        <f>ORÇAMENTO!B477</f>
        <v>8.0</v>
      </c>
      <c r="B16" s="243" t="str">
        <f>ORÇAMENTO!E477</f>
        <v>C.A.E.C. 2 - CENTRO DE ATIVIDADE EDUC COMPLEMENTAR 2</v>
      </c>
      <c r="C16" s="386">
        <f>ORÇAMENTO!J519</f>
        <v>72915.555399064819</v>
      </c>
      <c r="D16" s="385"/>
      <c r="E16" s="386">
        <f t="shared" si="0"/>
        <v>72915.555399064819</v>
      </c>
      <c r="F16" s="248">
        <f t="shared" si="1"/>
        <v>1.6252718525284648E-2</v>
      </c>
    </row>
    <row r="17" spans="1:6" s="7" customFormat="1">
      <c r="A17" s="240" t="str">
        <f>ORÇAMENTO!B520</f>
        <v>9.0</v>
      </c>
      <c r="B17" s="243" t="str">
        <f>ORÇAMENTO!E520</f>
        <v>C.E.I. IZOLINA ZANCOPÉ MUNARI</v>
      </c>
      <c r="C17" s="386">
        <f>ORÇAMENTO!J586</f>
        <v>148740.9838695268</v>
      </c>
      <c r="D17" s="385">
        <v>70779.61</v>
      </c>
      <c r="E17" s="386">
        <f t="shared" si="0"/>
        <v>219520.59386952681</v>
      </c>
      <c r="F17" s="248">
        <f t="shared" si="1"/>
        <v>3.3154041421953266E-2</v>
      </c>
    </row>
    <row r="18" spans="1:6" s="7" customFormat="1">
      <c r="A18" s="240" t="str">
        <f>ORÇAMENTO!B587</f>
        <v>10.0</v>
      </c>
      <c r="B18" s="243" t="str">
        <f>ORÇAMENTO!E587</f>
        <v>E.M.E.B. PROF. ELAINE MARIA ALVES SIQUEIRA</v>
      </c>
      <c r="C18" s="386">
        <f>ORÇAMENTO!J638</f>
        <v>128827.9235805037</v>
      </c>
      <c r="D18" s="385">
        <v>15494.9</v>
      </c>
      <c r="E18" s="386">
        <f t="shared" si="0"/>
        <v>144322.8235805037</v>
      </c>
      <c r="F18" s="248">
        <f t="shared" si="1"/>
        <v>2.8715463644094545E-2</v>
      </c>
    </row>
    <row r="19" spans="1:6" s="7" customFormat="1">
      <c r="A19" s="240" t="str">
        <f>ORÇAMENTO!B639</f>
        <v>11.0</v>
      </c>
      <c r="B19" s="243" t="str">
        <f>ORÇAMENTO!E639</f>
        <v>E.M.E.B. DR.ARLINDO MORANDINI</v>
      </c>
      <c r="C19" s="386">
        <f>ORÇAMENTO!J698</f>
        <v>128800.36266500746</v>
      </c>
      <c r="D19" s="385">
        <v>15567.111382113821</v>
      </c>
      <c r="E19" s="386">
        <f t="shared" si="0"/>
        <v>144367.47404712127</v>
      </c>
      <c r="F19" s="248">
        <f t="shared" si="1"/>
        <v>2.8709320376044154E-2</v>
      </c>
    </row>
    <row r="20" spans="1:6" s="7" customFormat="1">
      <c r="A20" s="240" t="str">
        <f>ORÇAMENTO!B699</f>
        <v>12.0</v>
      </c>
      <c r="B20" s="243" t="str">
        <f>ORÇAMENTO!E699</f>
        <v>E.M.E.B. ENFERMEIRA MARIA MAGDALENA BRASIL</v>
      </c>
      <c r="C20" s="386">
        <f>ORÇAMENTO!J761</f>
        <v>161862.8089571904</v>
      </c>
      <c r="D20" s="385">
        <v>70779.61</v>
      </c>
      <c r="E20" s="386">
        <f t="shared" si="0"/>
        <v>232642.41895719041</v>
      </c>
      <c r="F20" s="248">
        <f t="shared" si="1"/>
        <v>3.607886766130123E-2</v>
      </c>
    </row>
    <row r="21" spans="1:6" s="7" customFormat="1">
      <c r="A21" s="240" t="str">
        <f>ORÇAMENTO!B762</f>
        <v>13.0</v>
      </c>
      <c r="B21" s="243" t="str">
        <f>ORÇAMENTO!E762</f>
        <v>C.E.I. ODETTE LEITE DE MORAES</v>
      </c>
      <c r="C21" s="386">
        <f>ORÇAMENTO!J831</f>
        <v>181590.30238232741</v>
      </c>
      <c r="D21" s="385">
        <v>77924.59</v>
      </c>
      <c r="E21" s="386">
        <f t="shared" si="0"/>
        <v>259514.89238232741</v>
      </c>
      <c r="F21" s="248">
        <f t="shared" si="1"/>
        <v>4.0476082989270433E-2</v>
      </c>
    </row>
    <row r="22" spans="1:6" s="7" customFormat="1">
      <c r="A22" s="240" t="str">
        <f>ORÇAMENTO!B832</f>
        <v>14.0</v>
      </c>
      <c r="B22" s="243" t="str">
        <f>ORÇAMENTO!E832</f>
        <v>E.M.E.B. PROFESSORA VITÓRIA OLIVITO NONINO</v>
      </c>
      <c r="C22" s="386">
        <f>ORÇAMENTO!J898</f>
        <v>262464.6741227294</v>
      </c>
      <c r="D22" s="385">
        <v>77924.59</v>
      </c>
      <c r="E22" s="386">
        <f t="shared" si="0"/>
        <v>340389.26412272942</v>
      </c>
      <c r="F22" s="248">
        <f t="shared" si="1"/>
        <v>5.8502804346766218E-2</v>
      </c>
    </row>
    <row r="23" spans="1:6" s="7" customFormat="1">
      <c r="A23" s="240" t="str">
        <f>ORÇAMENTO!B899</f>
        <v>15.0</v>
      </c>
      <c r="B23" s="243" t="str">
        <f>ORÇAMENTO!E899</f>
        <v>E.M.E.B. PROFESSORA ALCINÉIA GOUVEIA DE FREITAS</v>
      </c>
      <c r="C23" s="386">
        <f>ORÇAMENTO!J954</f>
        <v>222727.28206986401</v>
      </c>
      <c r="D23" s="385">
        <v>77924.59</v>
      </c>
      <c r="E23" s="386">
        <f t="shared" si="0"/>
        <v>300651.87206986401</v>
      </c>
      <c r="F23" s="248">
        <f t="shared" si="1"/>
        <v>4.9645426186105762E-2</v>
      </c>
    </row>
    <row r="24" spans="1:6" s="7" customFormat="1">
      <c r="A24" s="240" t="str">
        <f>ORÇAMENTO!B955</f>
        <v>16.0</v>
      </c>
      <c r="B24" s="243" t="str">
        <f>ORÇAMENTO!E955</f>
        <v>E.M.E.B. ARTHUR OLIVA</v>
      </c>
      <c r="C24" s="386">
        <f>ORÇAMENTO!J1023</f>
        <v>250987.74332702754</v>
      </c>
      <c r="D24" s="385">
        <v>77924.59</v>
      </c>
      <c r="E24" s="386">
        <f t="shared" si="0"/>
        <v>328912.3333270275</v>
      </c>
      <c r="F24" s="248">
        <f t="shared" si="1"/>
        <v>5.5944621463349463E-2</v>
      </c>
    </row>
    <row r="25" spans="1:6" s="7" customFormat="1">
      <c r="A25" s="240" t="str">
        <f>ORÇAMENTO!B1024</f>
        <v>17.0</v>
      </c>
      <c r="B25" s="243" t="str">
        <f>ORÇAMENTO!E1024</f>
        <v>E.M.E.B. IRMA DE MIRANDA MELLO</v>
      </c>
      <c r="C25" s="386">
        <f>ORÇAMENTO!J1090</f>
        <v>152393.72856774411</v>
      </c>
      <c r="D25" s="385">
        <v>15494.9</v>
      </c>
      <c r="E25" s="386">
        <f t="shared" si="0"/>
        <v>167888.6285677441</v>
      </c>
      <c r="F25" s="248">
        <f t="shared" si="1"/>
        <v>3.3968230261357119E-2</v>
      </c>
    </row>
    <row r="26" spans="1:6" s="7" customFormat="1">
      <c r="A26" s="240" t="str">
        <f>ORÇAMENTO!B1091</f>
        <v>18.0</v>
      </c>
      <c r="B26" s="243" t="str">
        <f>ORÇAMENTO!E1091</f>
        <v>E.M.E.B. MARIA LUCIA BERTI</v>
      </c>
      <c r="C26" s="386">
        <f>ORÇAMENTO!J1152</f>
        <v>127034.51419575445</v>
      </c>
      <c r="D26" s="385">
        <v>15494.9</v>
      </c>
      <c r="E26" s="386">
        <f t="shared" si="0"/>
        <v>142529.41419575445</v>
      </c>
      <c r="F26" s="248">
        <f t="shared" si="1"/>
        <v>2.8315716597371681E-2</v>
      </c>
    </row>
    <row r="27" spans="1:6" s="7" customFormat="1">
      <c r="A27" s="240" t="str">
        <f>ORÇAMENTO!B1153</f>
        <v>19.0</v>
      </c>
      <c r="B27" s="243" t="str">
        <f>ORÇAMENTO!E1153</f>
        <v>E.M.E.B. MAURÍCIO LEITE DE MORAES</v>
      </c>
      <c r="C27" s="386">
        <f>ORÇAMENTO!J1221</f>
        <v>276647.17288072209</v>
      </c>
      <c r="D27" s="385">
        <v>77924.59</v>
      </c>
      <c r="E27" s="386">
        <f t="shared" si="0"/>
        <v>354571.76288072206</v>
      </c>
      <c r="F27" s="248">
        <f t="shared" si="1"/>
        <v>6.1664052437620243E-2</v>
      </c>
    </row>
    <row r="28" spans="1:6" s="7" customFormat="1">
      <c r="A28" s="240" t="str">
        <f>ORÇAMENTO!B1222</f>
        <v>20.0</v>
      </c>
      <c r="B28" s="243" t="str">
        <f>ORÇAMENTO!E1222</f>
        <v>C.E.I. JOSÉ RIBEIRO DE MENDONÇA NETO</v>
      </c>
      <c r="C28" s="386">
        <f>ORÇAMENTO!J1284</f>
        <v>154297.36785412821</v>
      </c>
      <c r="D28" s="385"/>
      <c r="E28" s="386">
        <f t="shared" si="0"/>
        <v>154297.36785412821</v>
      </c>
      <c r="F28" s="248">
        <f t="shared" si="1"/>
        <v>3.4392547313129469E-2</v>
      </c>
    </row>
    <row r="29" spans="1:6" s="7" customFormat="1">
      <c r="A29" s="240" t="str">
        <f>ORÇAMENTO!B1285</f>
        <v>21.0</v>
      </c>
      <c r="B29" s="243" t="str">
        <f>ORÇAMENTO!E1285</f>
        <v>E.M.E.B. PAULO BIMBO GOMES</v>
      </c>
      <c r="C29" s="386">
        <f>ORÇAMENTO!J1340</f>
        <v>134969.45008344884</v>
      </c>
      <c r="D29" s="385">
        <v>15494.9</v>
      </c>
      <c r="E29" s="386">
        <f t="shared" si="0"/>
        <v>150464.35008344884</v>
      </c>
      <c r="F29" s="248">
        <f t="shared" si="1"/>
        <v>3.0084396528465378E-2</v>
      </c>
    </row>
    <row r="30" spans="1:6" s="7" customFormat="1">
      <c r="A30" s="240" t="str">
        <f>ORÇAMENTO!B1341</f>
        <v>22.0</v>
      </c>
      <c r="B30" s="243" t="str">
        <f>ORÇAMENTO!E1341</f>
        <v>E.M.E.B. PEDRO BORDIGNON NETO II</v>
      </c>
      <c r="C30" s="386">
        <f>ORÇAMENTO!J1396</f>
        <v>115964.97607932807</v>
      </c>
      <c r="D30" s="385">
        <v>15494.9</v>
      </c>
      <c r="E30" s="386">
        <f t="shared" si="0"/>
        <v>131459.87607932807</v>
      </c>
      <c r="F30" s="248">
        <f t="shared" si="1"/>
        <v>2.5848340655070415E-2</v>
      </c>
    </row>
    <row r="31" spans="1:6" s="7" customFormat="1">
      <c r="A31" s="240" t="str">
        <f>ORÇAMENTO!B1397</f>
        <v>23.0</v>
      </c>
      <c r="B31" s="243" t="str">
        <f>ORÇAMENTO!E1397</f>
        <v>E.M.E.B. SANTO GARBIM</v>
      </c>
      <c r="C31" s="386">
        <f>ORÇAMENTO!J1455</f>
        <v>98037.684005776246</v>
      </c>
      <c r="D31" s="385">
        <v>15494.9</v>
      </c>
      <c r="E31" s="386">
        <f t="shared" si="0"/>
        <v>113532.58400577624</v>
      </c>
      <c r="F31" s="248">
        <f t="shared" si="1"/>
        <v>2.1852386288442341E-2</v>
      </c>
    </row>
    <row r="32" spans="1:6" s="7" customFormat="1" ht="15" thickBot="1">
      <c r="A32" s="240" t="str">
        <f>ORÇAMENTO!B1456</f>
        <v>24.0</v>
      </c>
      <c r="B32" s="244" t="str">
        <f>ORÇAMENTO!E1456</f>
        <v>E.M.E.B. PEDRO BORDIGNON NETO I</v>
      </c>
      <c r="C32" s="387">
        <f>ORÇAMENTO!J1517</f>
        <v>184046.51378214333</v>
      </c>
      <c r="D32" s="387">
        <v>77924.59</v>
      </c>
      <c r="E32" s="386">
        <f t="shared" si="0"/>
        <v>261971.10378214333</v>
      </c>
      <c r="F32" s="245">
        <f>C32/C33</f>
        <v>4.102356716190441E-2</v>
      </c>
    </row>
    <row r="33" spans="1:6" s="55" customFormat="1" ht="16.2" thickBot="1">
      <c r="A33" s="536" t="s">
        <v>10</v>
      </c>
      <c r="B33" s="537"/>
      <c r="C33" s="118">
        <f>SUM(C9:C32)</f>
        <v>4486360.5608888613</v>
      </c>
      <c r="D33" s="118">
        <f>SUM(D9:D32)</f>
        <v>1213685.0113821134</v>
      </c>
      <c r="E33" s="118">
        <f>SUM(E9:E32)</f>
        <v>5700045.5722709745</v>
      </c>
      <c r="F33" s="119">
        <f>SUM(F9:F32)</f>
        <v>0.99999999999999978</v>
      </c>
    </row>
    <row r="34" spans="1:6">
      <c r="A34" s="527"/>
      <c r="B34" s="146"/>
      <c r="C34" s="146"/>
      <c r="D34" s="146"/>
      <c r="E34" s="146"/>
      <c r="F34" s="515"/>
    </row>
    <row r="35" spans="1:6" ht="18">
      <c r="A35" s="552"/>
      <c r="B35" s="553"/>
      <c r="C35" s="553"/>
      <c r="D35" s="553"/>
      <c r="E35" s="553"/>
      <c r="F35" s="554"/>
    </row>
    <row r="36" spans="1:6">
      <c r="A36" s="527"/>
      <c r="B36" s="146"/>
      <c r="C36" s="146"/>
      <c r="D36" s="146"/>
      <c r="E36" s="146"/>
      <c r="F36" s="515"/>
    </row>
    <row r="37" spans="1:6" ht="46.5" customHeight="1">
      <c r="A37" s="555"/>
      <c r="B37" s="556"/>
      <c r="C37" s="556"/>
      <c r="D37" s="556"/>
      <c r="E37" s="556"/>
      <c r="F37" s="557"/>
    </row>
    <row r="38" spans="1:6" ht="15.6">
      <c r="A38" s="524"/>
      <c r="B38" s="525"/>
      <c r="C38" s="525"/>
      <c r="D38" s="525"/>
      <c r="E38" s="525"/>
      <c r="F38" s="526"/>
    </row>
    <row r="39" spans="1:6" ht="15.6">
      <c r="A39" s="524"/>
      <c r="B39" s="525"/>
      <c r="C39" s="525"/>
      <c r="D39" s="525"/>
      <c r="E39" s="525"/>
      <c r="F39" s="526"/>
    </row>
    <row r="40" spans="1:6">
      <c r="A40" s="558"/>
      <c r="B40" s="559"/>
      <c r="C40" s="559"/>
      <c r="D40" s="559"/>
      <c r="E40" s="559"/>
      <c r="F40" s="560"/>
    </row>
    <row r="41" spans="1:6">
      <c r="A41" s="558"/>
      <c r="B41" s="559"/>
      <c r="C41" s="559"/>
      <c r="D41" s="559"/>
      <c r="E41" s="559"/>
      <c r="F41" s="560"/>
    </row>
    <row r="42" spans="1:6">
      <c r="A42" s="558"/>
      <c r="B42" s="559"/>
      <c r="C42" s="559"/>
      <c r="D42" s="559"/>
      <c r="E42" s="559"/>
      <c r="F42" s="560"/>
    </row>
    <row r="43" spans="1:6">
      <c r="A43" s="558"/>
      <c r="B43" s="559"/>
      <c r="C43" s="559"/>
      <c r="D43" s="559"/>
      <c r="E43" s="559"/>
      <c r="F43" s="560"/>
    </row>
    <row r="44" spans="1:6" ht="15" thickBot="1">
      <c r="A44" s="561"/>
      <c r="B44" s="562"/>
      <c r="C44" s="562"/>
      <c r="D44" s="562"/>
      <c r="E44" s="562"/>
      <c r="F44" s="563"/>
    </row>
    <row r="45" spans="1:6">
      <c r="A45" s="551"/>
      <c r="B45" s="551"/>
      <c r="C45" s="551"/>
      <c r="D45" s="551"/>
      <c r="E45" s="551"/>
      <c r="F45" s="551"/>
    </row>
    <row r="46" spans="1:6">
      <c r="A46" s="551"/>
      <c r="B46" s="551"/>
      <c r="C46" s="551"/>
      <c r="D46" s="551"/>
      <c r="E46" s="551"/>
      <c r="F46" s="551"/>
    </row>
    <row r="47" spans="1:6">
      <c r="A47" s="551"/>
      <c r="B47" s="551"/>
      <c r="C47" s="551"/>
      <c r="D47" s="551"/>
      <c r="E47" s="551"/>
      <c r="F47" s="551"/>
    </row>
    <row r="48" spans="1:6">
      <c r="A48" s="551"/>
      <c r="B48" s="551"/>
      <c r="C48" s="551"/>
      <c r="D48" s="551"/>
      <c r="E48" s="551"/>
      <c r="F48" s="551"/>
    </row>
    <row r="49" spans="1:6">
      <c r="A49" s="551"/>
      <c r="B49" s="551"/>
      <c r="C49" s="551"/>
      <c r="D49" s="551"/>
      <c r="E49" s="551"/>
      <c r="F49" s="551"/>
    </row>
  </sheetData>
  <mergeCells count="18">
    <mergeCell ref="A49:F49"/>
    <mergeCell ref="A35:F35"/>
    <mergeCell ref="A37:F37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33:B33"/>
    <mergeCell ref="A1:F1"/>
    <mergeCell ref="A2:F2"/>
    <mergeCell ref="B5:F5"/>
    <mergeCell ref="B6:F6"/>
    <mergeCell ref="A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workbookViewId="0">
      <selection sqref="A1:D3"/>
    </sheetView>
  </sheetViews>
  <sheetFormatPr defaultColWidth="8.88671875" defaultRowHeight="13.2"/>
  <cols>
    <col min="1" max="1" width="10" style="58" customWidth="1"/>
    <col min="2" max="2" width="67.44140625" style="58" bestFit="1" customWidth="1"/>
    <col min="3" max="3" width="21.44140625" style="58" customWidth="1"/>
    <col min="4" max="4" width="17.5546875" style="58" bestFit="1" customWidth="1"/>
    <col min="5" max="5" width="12" style="58" customWidth="1"/>
    <col min="6" max="6" width="13.109375" style="58" bestFit="1" customWidth="1"/>
    <col min="7" max="7" width="11" style="58" bestFit="1" customWidth="1"/>
    <col min="8" max="9" width="10.109375" style="58" bestFit="1" customWidth="1"/>
    <col min="10" max="16384" width="8.88671875" style="58"/>
  </cols>
  <sheetData>
    <row r="1" spans="1:8" ht="21" customHeight="1">
      <c r="A1" s="711" t="str">
        <f>[3]RESUMO!$B$2</f>
        <v>PREFEITURA MUNICIPAL DE ORLÂNDIA</v>
      </c>
      <c r="B1" s="712"/>
      <c r="C1" s="712"/>
      <c r="D1" s="713"/>
    </row>
    <row r="2" spans="1:8" ht="21" customHeight="1">
      <c r="A2" s="714"/>
      <c r="B2" s="715"/>
      <c r="C2" s="715"/>
      <c r="D2" s="716"/>
    </row>
    <row r="3" spans="1:8" ht="21" customHeight="1" thickBot="1">
      <c r="A3" s="717"/>
      <c r="B3" s="718"/>
      <c r="C3" s="718"/>
      <c r="D3" s="719"/>
    </row>
    <row r="4" spans="1:8">
      <c r="A4" s="59" t="s">
        <v>188</v>
      </c>
      <c r="B4" s="727" t="str">
        <f>[3]ORÇAMENTO!$F$3</f>
        <v>CLIMATIZAÇÃO ESCOLAS</v>
      </c>
      <c r="C4" s="727"/>
      <c r="D4" s="728"/>
    </row>
    <row r="5" spans="1:8">
      <c r="A5" s="60" t="s">
        <v>173</v>
      </c>
      <c r="B5" s="729" t="str">
        <f>[3]RESUMO!$B$2</f>
        <v>PREFEITURA MUNICIPAL DE ORLÂNDIA</v>
      </c>
      <c r="C5" s="729"/>
      <c r="D5" s="730"/>
    </row>
    <row r="6" spans="1:8" ht="12.75" customHeight="1">
      <c r="A6" s="60" t="s">
        <v>189</v>
      </c>
      <c r="B6" s="729" t="str">
        <f>[3]ORÇAMENTO!$F$5</f>
        <v>PRAÇA CORONEL ORLANDO, Nº 600 - CENTRO - ORLÂNDIA-SP</v>
      </c>
      <c r="C6" s="729"/>
      <c r="D6" s="730"/>
    </row>
    <row r="7" spans="1:8" ht="13.8" thickBot="1">
      <c r="A7" s="60" t="s">
        <v>190</v>
      </c>
      <c r="B7" s="731" t="s">
        <v>1125</v>
      </c>
      <c r="C7" s="729"/>
      <c r="D7" s="730"/>
    </row>
    <row r="8" spans="1:8" ht="16.2" thickBot="1">
      <c r="A8" s="726" t="s">
        <v>191</v>
      </c>
      <c r="B8" s="726"/>
      <c r="C8" s="726"/>
      <c r="D8" s="726"/>
    </row>
    <row r="9" spans="1:8" ht="19.5" customHeight="1" thickBot="1">
      <c r="A9" s="732" t="s">
        <v>192</v>
      </c>
      <c r="B9" s="732" t="s">
        <v>193</v>
      </c>
      <c r="C9" s="735" t="s">
        <v>194</v>
      </c>
      <c r="D9" s="736"/>
      <c r="F9" s="61"/>
    </row>
    <row r="10" spans="1:8" ht="18.75" customHeight="1">
      <c r="A10" s="733"/>
      <c r="B10" s="733"/>
      <c r="C10" s="737"/>
      <c r="D10" s="738"/>
    </row>
    <row r="11" spans="1:8" ht="27.6">
      <c r="A11" s="465" t="s">
        <v>195</v>
      </c>
      <c r="B11" s="355" t="s">
        <v>1064</v>
      </c>
      <c r="C11" s="356" t="s">
        <v>1065</v>
      </c>
      <c r="D11" s="466" t="s">
        <v>1066</v>
      </c>
    </row>
    <row r="12" spans="1:8" s="67" customFormat="1" ht="13.5" customHeight="1">
      <c r="A12" s="358" t="s">
        <v>196</v>
      </c>
      <c r="B12" s="353" t="s">
        <v>1067</v>
      </c>
      <c r="C12" s="354">
        <v>0</v>
      </c>
      <c r="D12" s="720">
        <f>SUM(C12:C20)</f>
        <v>0.17800000000000002</v>
      </c>
      <c r="E12" s="66"/>
      <c r="F12" s="66"/>
    </row>
    <row r="13" spans="1:8" s="67" customFormat="1" ht="13.5" customHeight="1">
      <c r="A13" s="359" t="s">
        <v>197</v>
      </c>
      <c r="B13" s="63" t="s">
        <v>1068</v>
      </c>
      <c r="C13" s="64">
        <v>0.08</v>
      </c>
      <c r="D13" s="721"/>
      <c r="E13" s="66"/>
      <c r="F13" s="66"/>
      <c r="H13" s="68"/>
    </row>
    <row r="14" spans="1:8" s="67" customFormat="1" ht="13.5" customHeight="1">
      <c r="A14" s="359" t="s">
        <v>198</v>
      </c>
      <c r="B14" s="63" t="s">
        <v>1069</v>
      </c>
      <c r="C14" s="64">
        <v>2.5000000000000001E-2</v>
      </c>
      <c r="D14" s="721"/>
      <c r="E14" s="66"/>
      <c r="F14" s="69"/>
      <c r="G14" s="70"/>
      <c r="H14" s="70"/>
    </row>
    <row r="15" spans="1:8" s="67" customFormat="1" ht="13.5" customHeight="1">
      <c r="A15" s="359" t="s">
        <v>199</v>
      </c>
      <c r="B15" s="63" t="s">
        <v>1070</v>
      </c>
      <c r="C15" s="64">
        <v>1.4999999999999999E-2</v>
      </c>
      <c r="D15" s="721"/>
      <c r="E15" s="66"/>
      <c r="F15" s="71"/>
      <c r="G15" s="71"/>
      <c r="H15" s="70"/>
    </row>
    <row r="16" spans="1:8" s="67" customFormat="1" ht="13.5" customHeight="1">
      <c r="A16" s="359" t="s">
        <v>200</v>
      </c>
      <c r="B16" s="63" t="s">
        <v>1071</v>
      </c>
      <c r="C16" s="64">
        <v>0.01</v>
      </c>
      <c r="D16" s="721"/>
      <c r="E16" s="66"/>
      <c r="F16" s="71"/>
      <c r="G16" s="71"/>
      <c r="H16" s="70"/>
    </row>
    <row r="17" spans="1:9" s="67" customFormat="1" ht="13.5" customHeight="1">
      <c r="A17" s="359" t="s">
        <v>201</v>
      </c>
      <c r="B17" s="63" t="s">
        <v>1072</v>
      </c>
      <c r="C17" s="64">
        <v>6.0000000000000001E-3</v>
      </c>
      <c r="D17" s="721"/>
      <c r="E17" s="66"/>
      <c r="F17" s="71"/>
      <c r="G17" s="71"/>
      <c r="H17" s="70"/>
    </row>
    <row r="18" spans="1:9" s="67" customFormat="1" ht="32.25" customHeight="1">
      <c r="A18" s="359" t="s">
        <v>202</v>
      </c>
      <c r="B18" s="357" t="s">
        <v>1073</v>
      </c>
      <c r="C18" s="64">
        <v>2E-3</v>
      </c>
      <c r="D18" s="721"/>
      <c r="E18" s="66"/>
      <c r="F18" s="71"/>
      <c r="G18" s="71"/>
      <c r="H18" s="70"/>
    </row>
    <row r="19" spans="1:9" s="67" customFormat="1" ht="13.5" customHeight="1">
      <c r="A19" s="359" t="s">
        <v>203</v>
      </c>
      <c r="B19" s="63" t="s">
        <v>1074</v>
      </c>
      <c r="C19" s="64">
        <v>0.03</v>
      </c>
      <c r="D19" s="721"/>
      <c r="E19" s="66"/>
      <c r="F19" s="71"/>
      <c r="G19" s="71"/>
      <c r="H19" s="70"/>
    </row>
    <row r="20" spans="1:9" s="67" customFormat="1" ht="52.8">
      <c r="A20" s="359" t="s">
        <v>204</v>
      </c>
      <c r="B20" s="357" t="s">
        <v>1075</v>
      </c>
      <c r="C20" s="64">
        <v>0.01</v>
      </c>
      <c r="D20" s="734"/>
      <c r="E20" s="66"/>
      <c r="F20" s="71"/>
      <c r="G20" s="71"/>
      <c r="H20" s="70"/>
    </row>
    <row r="21" spans="1:9" ht="35.1" customHeight="1">
      <c r="A21" s="465" t="s">
        <v>205</v>
      </c>
      <c r="B21" s="360" t="s">
        <v>1084</v>
      </c>
      <c r="C21" s="356" t="s">
        <v>1065</v>
      </c>
      <c r="D21" s="466" t="s">
        <v>1066</v>
      </c>
      <c r="E21" s="72"/>
      <c r="F21" s="73"/>
      <c r="G21" s="73"/>
      <c r="H21" s="74"/>
    </row>
    <row r="22" spans="1:9" s="67" customFormat="1" ht="18" customHeight="1">
      <c r="A22" s="62" t="s">
        <v>206</v>
      </c>
      <c r="B22" s="75" t="s">
        <v>1077</v>
      </c>
      <c r="C22" s="76">
        <v>0.18099999999999999</v>
      </c>
      <c r="D22" s="739">
        <f>SUM(C22:C29)</f>
        <v>0.48799999999999999</v>
      </c>
      <c r="E22" s="68"/>
      <c r="F22" s="71"/>
      <c r="G22" s="77"/>
      <c r="H22" s="71"/>
      <c r="I22" s="68"/>
    </row>
    <row r="23" spans="1:9" s="67" customFormat="1" ht="18" customHeight="1">
      <c r="A23" s="62" t="s">
        <v>207</v>
      </c>
      <c r="B23" s="78" t="s">
        <v>1076</v>
      </c>
      <c r="C23" s="76">
        <v>3.7999999999999999E-2</v>
      </c>
      <c r="D23" s="721"/>
      <c r="E23" s="68"/>
      <c r="F23" s="71"/>
      <c r="G23" s="77"/>
      <c r="H23" s="71"/>
      <c r="I23" s="68"/>
    </row>
    <row r="24" spans="1:9" s="67" customFormat="1" ht="18" customHeight="1">
      <c r="A24" s="62" t="s">
        <v>208</v>
      </c>
      <c r="B24" s="75" t="s">
        <v>1078</v>
      </c>
      <c r="C24" s="76">
        <v>2.5999999999999999E-2</v>
      </c>
      <c r="D24" s="721"/>
      <c r="E24" s="68"/>
      <c r="F24" s="79"/>
      <c r="G24" s="77"/>
      <c r="H24" s="71"/>
      <c r="I24" s="68"/>
    </row>
    <row r="25" spans="1:9" s="67" customFormat="1" ht="18" customHeight="1">
      <c r="A25" s="62" t="s">
        <v>209</v>
      </c>
      <c r="B25" s="75" t="s">
        <v>1079</v>
      </c>
      <c r="C25" s="76">
        <v>8.6999999999999994E-2</v>
      </c>
      <c r="D25" s="721"/>
      <c r="E25" s="68"/>
      <c r="F25" s="79"/>
      <c r="G25" s="77"/>
      <c r="H25" s="71"/>
      <c r="I25" s="68"/>
    </row>
    <row r="26" spans="1:9" s="67" customFormat="1" ht="18" customHeight="1">
      <c r="A26" s="62" t="s">
        <v>210</v>
      </c>
      <c r="B26" s="75" t="s">
        <v>1080</v>
      </c>
      <c r="C26" s="76">
        <v>1.9E-2</v>
      </c>
      <c r="D26" s="721"/>
      <c r="E26" s="68"/>
      <c r="F26" s="79"/>
      <c r="G26" s="77"/>
      <c r="H26" s="71"/>
      <c r="I26" s="68"/>
    </row>
    <row r="27" spans="1:9" s="67" customFormat="1" ht="18" customHeight="1">
      <c r="A27" s="62" t="s">
        <v>211</v>
      </c>
      <c r="B27" s="75" t="s">
        <v>1081</v>
      </c>
      <c r="C27" s="76">
        <v>0.113</v>
      </c>
      <c r="D27" s="721"/>
      <c r="E27" s="68"/>
      <c r="F27" s="79"/>
      <c r="G27" s="77"/>
      <c r="H27" s="71"/>
      <c r="I27" s="68"/>
    </row>
    <row r="28" spans="1:9" s="67" customFormat="1" ht="18" customHeight="1">
      <c r="A28" s="62" t="s">
        <v>212</v>
      </c>
      <c r="B28" s="75" t="s">
        <v>1082</v>
      </c>
      <c r="C28" s="76">
        <v>1E-3</v>
      </c>
      <c r="D28" s="721"/>
      <c r="E28" s="68"/>
      <c r="F28" s="79"/>
      <c r="G28" s="77"/>
      <c r="H28" s="71"/>
      <c r="I28" s="68"/>
    </row>
    <row r="29" spans="1:9" s="67" customFormat="1" ht="18" customHeight="1">
      <c r="A29" s="62" t="s">
        <v>213</v>
      </c>
      <c r="B29" s="75" t="s">
        <v>1083</v>
      </c>
      <c r="C29" s="76">
        <v>2.3E-2</v>
      </c>
      <c r="D29" s="734"/>
      <c r="E29" s="68"/>
      <c r="F29" s="79"/>
      <c r="G29" s="77"/>
      <c r="H29" s="71"/>
      <c r="I29" s="68"/>
    </row>
    <row r="30" spans="1:9" ht="35.1" customHeight="1">
      <c r="A30" s="465" t="s">
        <v>214</v>
      </c>
      <c r="B30" s="360" t="s">
        <v>1085</v>
      </c>
      <c r="C30" s="356" t="s">
        <v>1065</v>
      </c>
      <c r="D30" s="466" t="s">
        <v>1066</v>
      </c>
      <c r="E30" s="72"/>
      <c r="F30" s="73"/>
      <c r="G30" s="73"/>
      <c r="H30" s="74"/>
    </row>
    <row r="31" spans="1:9" s="67" customFormat="1" ht="18" customHeight="1">
      <c r="A31" s="62" t="s">
        <v>215</v>
      </c>
      <c r="B31" s="75" t="s">
        <v>1088</v>
      </c>
      <c r="C31" s="76">
        <v>6.4000000000000001E-2</v>
      </c>
      <c r="D31" s="720">
        <f>SUM(C31:C33)</f>
        <v>0.23599999999999999</v>
      </c>
      <c r="E31" s="68"/>
      <c r="F31" s="71"/>
      <c r="G31" s="77"/>
      <c r="H31" s="71"/>
      <c r="I31" s="68"/>
    </row>
    <row r="32" spans="1:9" s="67" customFormat="1" ht="18" customHeight="1">
      <c r="A32" s="62" t="s">
        <v>216</v>
      </c>
      <c r="B32" s="78" t="s">
        <v>1089</v>
      </c>
      <c r="C32" s="76">
        <v>0.15</v>
      </c>
      <c r="D32" s="721"/>
      <c r="E32" s="68"/>
      <c r="F32" s="71"/>
      <c r="G32" s="77"/>
      <c r="H32" s="71"/>
      <c r="I32" s="68"/>
    </row>
    <row r="33" spans="1:9" s="67" customFormat="1" ht="18" customHeight="1">
      <c r="A33" s="62" t="s">
        <v>217</v>
      </c>
      <c r="B33" s="75" t="s">
        <v>1090</v>
      </c>
      <c r="C33" s="76">
        <v>2.1999999999999999E-2</v>
      </c>
      <c r="D33" s="722"/>
      <c r="E33" s="68"/>
      <c r="F33" s="79"/>
      <c r="G33" s="77"/>
      <c r="H33" s="71"/>
      <c r="I33" s="68"/>
    </row>
    <row r="34" spans="1:9" ht="35.1" customHeight="1">
      <c r="A34" s="465" t="s">
        <v>218</v>
      </c>
      <c r="B34" s="360" t="s">
        <v>1086</v>
      </c>
      <c r="C34" s="356" t="s">
        <v>1065</v>
      </c>
      <c r="D34" s="466" t="s">
        <v>1066</v>
      </c>
      <c r="E34" s="72"/>
      <c r="F34" s="73"/>
      <c r="G34" s="73"/>
      <c r="H34" s="74"/>
    </row>
    <row r="35" spans="1:9" s="67" customFormat="1" ht="18" customHeight="1">
      <c r="A35" s="62" t="s">
        <v>219</v>
      </c>
      <c r="B35" s="75" t="s">
        <v>1087</v>
      </c>
      <c r="C35" s="80">
        <v>8.6900000000000005E-2</v>
      </c>
      <c r="D35" s="65">
        <f>C35</f>
        <v>8.6900000000000005E-2</v>
      </c>
      <c r="E35" s="68"/>
      <c r="F35" s="71"/>
      <c r="G35" s="77"/>
      <c r="H35" s="71"/>
      <c r="I35" s="68"/>
    </row>
    <row r="36" spans="1:9" s="67" customFormat="1" ht="18" customHeight="1" thickBot="1">
      <c r="A36" s="361"/>
      <c r="B36" s="362"/>
      <c r="C36" s="363"/>
      <c r="D36" s="364"/>
      <c r="E36" s="68"/>
      <c r="F36" s="71"/>
      <c r="G36" s="77"/>
      <c r="H36" s="71"/>
      <c r="I36" s="68"/>
    </row>
    <row r="37" spans="1:9" ht="35.1" customHeight="1" thickBot="1">
      <c r="A37" s="723" t="s">
        <v>1091</v>
      </c>
      <c r="B37" s="724"/>
      <c r="C37" s="725"/>
      <c r="D37" s="81">
        <f>D35+D31+D22+D12</f>
        <v>0.9889</v>
      </c>
    </row>
    <row r="40" spans="1:9">
      <c r="D40" s="82"/>
    </row>
    <row r="41" spans="1:9" ht="13.8">
      <c r="D41" s="83"/>
    </row>
    <row r="42" spans="1:9">
      <c r="D42" s="84"/>
    </row>
  </sheetData>
  <mergeCells count="13">
    <mergeCell ref="A1:D3"/>
    <mergeCell ref="D31:D33"/>
    <mergeCell ref="A37:C37"/>
    <mergeCell ref="A8:D8"/>
    <mergeCell ref="B4:D4"/>
    <mergeCell ref="B5:D5"/>
    <mergeCell ref="B6:D6"/>
    <mergeCell ref="B7:D7"/>
    <mergeCell ref="A9:A10"/>
    <mergeCell ref="B9:B10"/>
    <mergeCell ref="D12:D20"/>
    <mergeCell ref="C9:D10"/>
    <mergeCell ref="D22:D29"/>
  </mergeCells>
  <printOptions horizontalCentered="1" verticalCentered="1"/>
  <pageMargins left="0.47" right="0.4" top="0.36" bottom="0.68" header="0.31496062992125984" footer="0.21"/>
  <pageSetup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opLeftCell="C1" workbookViewId="0">
      <selection activeCell="D11" sqref="D11"/>
    </sheetView>
  </sheetViews>
  <sheetFormatPr defaultColWidth="9.109375" defaultRowHeight="14.4"/>
  <cols>
    <col min="1" max="1" width="11.88671875" style="147" hidden="1" customWidth="1"/>
    <col min="2" max="2" width="10.88671875" style="147" hidden="1" customWidth="1"/>
    <col min="3" max="3" width="11.44140625" style="148" customWidth="1"/>
    <col min="4" max="4" width="56.6640625" style="149" customWidth="1"/>
    <col min="5" max="5" width="9.109375" style="148"/>
    <col min="6" max="6" width="12.6640625" style="3" customWidth="1"/>
    <col min="7" max="7" width="15" style="3" customWidth="1"/>
    <col min="8" max="8" width="14" style="3" bestFit="1" customWidth="1"/>
    <col min="9" max="9" width="12.6640625" style="3" customWidth="1"/>
    <col min="10" max="10" width="4.88671875" style="147" customWidth="1"/>
    <col min="11" max="11" width="9.109375" style="147"/>
    <col min="12" max="12" width="7.109375" style="147" customWidth="1"/>
    <col min="13" max="16384" width="9.109375" style="147"/>
  </cols>
  <sheetData>
    <row r="1" spans="1:13" ht="85.5" customHeight="1" thickBot="1">
      <c r="A1" s="207"/>
      <c r="B1" s="185"/>
      <c r="C1" s="740" t="str">
        <f>RESUMO!A1</f>
        <v>PREFEITURA MUNICIPAL DE ORLÂNDIA</v>
      </c>
      <c r="D1" s="741"/>
      <c r="E1" s="741"/>
      <c r="F1" s="741"/>
      <c r="G1" s="741"/>
      <c r="H1" s="741"/>
      <c r="I1" s="742"/>
      <c r="J1" s="204"/>
      <c r="K1" s="205"/>
      <c r="L1" s="146"/>
    </row>
    <row r="2" spans="1:13" ht="25.2">
      <c r="A2" s="745" t="str">
        <f>RESUMO!A2</f>
        <v>ORLÂNDIA - SP</v>
      </c>
      <c r="B2" s="601"/>
      <c r="C2" s="601"/>
      <c r="D2" s="601"/>
      <c r="E2" s="601"/>
      <c r="F2" s="601"/>
      <c r="G2" s="601"/>
      <c r="H2" s="601"/>
      <c r="I2" s="602"/>
      <c r="J2" s="206"/>
      <c r="K2" s="205"/>
    </row>
    <row r="3" spans="1:13" ht="21.6" thickBot="1">
      <c r="A3" s="217"/>
      <c r="B3" s="218"/>
      <c r="C3" s="743" t="s">
        <v>437</v>
      </c>
      <c r="D3" s="743"/>
      <c r="E3" s="743"/>
      <c r="F3" s="743"/>
      <c r="G3" s="743"/>
      <c r="H3" s="743"/>
      <c r="I3" s="744"/>
      <c r="J3" s="146"/>
      <c r="K3" s="146"/>
    </row>
    <row r="4" spans="1:13" s="120" customFormat="1">
      <c r="A4" s="187"/>
      <c r="B4" s="208"/>
      <c r="C4" s="223" t="s">
        <v>3</v>
      </c>
      <c r="D4" s="224" t="s">
        <v>4</v>
      </c>
      <c r="E4" s="223" t="s">
        <v>15</v>
      </c>
      <c r="F4" s="225" t="s">
        <v>438</v>
      </c>
      <c r="G4" s="225" t="s">
        <v>439</v>
      </c>
      <c r="H4" s="225" t="s">
        <v>440</v>
      </c>
      <c r="I4" s="226" t="s">
        <v>17</v>
      </c>
    </row>
    <row r="5" spans="1:13" s="190" customFormat="1">
      <c r="A5" s="209"/>
      <c r="B5" s="210"/>
      <c r="C5" s="191" t="s">
        <v>18</v>
      </c>
      <c r="D5" s="192" t="s">
        <v>441</v>
      </c>
      <c r="E5" s="191"/>
      <c r="F5" s="193"/>
      <c r="G5" s="193"/>
      <c r="H5" s="193"/>
      <c r="I5" s="211"/>
    </row>
    <row r="6" spans="1:13" s="197" customFormat="1">
      <c r="A6" s="212"/>
      <c r="B6" s="213"/>
      <c r="C6" s="194" t="s">
        <v>442</v>
      </c>
      <c r="D6" s="195" t="s">
        <v>443</v>
      </c>
      <c r="E6" s="194" t="s">
        <v>444</v>
      </c>
      <c r="F6" s="196" t="s">
        <v>445</v>
      </c>
      <c r="G6" s="196" t="s">
        <v>446</v>
      </c>
      <c r="H6" s="196" t="s">
        <v>447</v>
      </c>
      <c r="I6" s="214" t="s">
        <v>448</v>
      </c>
    </row>
    <row r="7" spans="1:13">
      <c r="A7" s="186"/>
      <c r="B7" s="146"/>
      <c r="C7" s="121" t="s">
        <v>545</v>
      </c>
      <c r="D7" s="198" t="s">
        <v>449</v>
      </c>
      <c r="E7" s="121" t="s">
        <v>444</v>
      </c>
      <c r="F7" s="122">
        <v>8</v>
      </c>
      <c r="G7" s="122">
        <v>5</v>
      </c>
      <c r="H7" s="122">
        <v>1</v>
      </c>
      <c r="I7" s="215">
        <f>ROUND(F7*G7*H7,4)</f>
        <v>40</v>
      </c>
    </row>
    <row r="8" spans="1:13" s="274" customFormat="1">
      <c r="A8" s="186"/>
      <c r="B8" s="146"/>
      <c r="C8" s="121"/>
      <c r="D8" s="198"/>
      <c r="E8" s="121"/>
      <c r="F8" s="122"/>
      <c r="G8" s="122"/>
      <c r="H8" s="122"/>
      <c r="I8" s="215"/>
    </row>
    <row r="9" spans="1:13" s="274" customFormat="1">
      <c r="A9" s="186"/>
      <c r="B9" s="146"/>
      <c r="C9" s="121" t="s">
        <v>789</v>
      </c>
      <c r="D9" s="198" t="s">
        <v>1126</v>
      </c>
      <c r="E9" s="121" t="s">
        <v>444</v>
      </c>
      <c r="F9" s="122">
        <v>4</v>
      </c>
      <c r="G9" s="122">
        <v>4</v>
      </c>
      <c r="H9" s="122">
        <v>1</v>
      </c>
      <c r="I9" s="215">
        <f>ROUND(F9*G9*H9,4)</f>
        <v>16</v>
      </c>
    </row>
    <row r="10" spans="1:13">
      <c r="A10" s="186"/>
      <c r="B10" s="146"/>
      <c r="C10" s="121"/>
      <c r="D10" s="198"/>
      <c r="E10" s="121"/>
      <c r="F10" s="122"/>
      <c r="G10" s="122"/>
      <c r="H10" s="122"/>
      <c r="I10" s="215"/>
    </row>
    <row r="11" spans="1:13" s="190" customFormat="1">
      <c r="A11" s="209"/>
      <c r="B11" s="210"/>
      <c r="C11" s="191" t="s">
        <v>551</v>
      </c>
      <c r="D11" s="192" t="s">
        <v>451</v>
      </c>
      <c r="E11" s="191"/>
      <c r="F11" s="193"/>
      <c r="G11" s="193"/>
      <c r="H11" s="193"/>
      <c r="I11" s="211"/>
    </row>
    <row r="12" spans="1:13">
      <c r="A12" s="186"/>
      <c r="B12" s="146"/>
      <c r="C12" s="121"/>
      <c r="D12" s="198"/>
      <c r="E12" s="121"/>
      <c r="F12" s="122"/>
      <c r="G12" s="122"/>
      <c r="H12" s="122"/>
      <c r="I12" s="215"/>
    </row>
    <row r="13" spans="1:13" s="190" customFormat="1">
      <c r="A13" s="209"/>
      <c r="B13" s="210"/>
      <c r="C13" s="199" t="s">
        <v>552</v>
      </c>
      <c r="D13" s="200" t="s">
        <v>453</v>
      </c>
      <c r="E13" s="199" t="s">
        <v>454</v>
      </c>
      <c r="F13" s="201"/>
      <c r="G13" s="201"/>
      <c r="H13" s="201"/>
      <c r="I13" s="216">
        <f>SUM(I15:I15)</f>
        <v>3</v>
      </c>
    </row>
    <row r="14" spans="1:13" s="197" customFormat="1">
      <c r="A14" s="212"/>
      <c r="B14" s="213"/>
      <c r="C14" s="194" t="s">
        <v>442</v>
      </c>
      <c r="D14" s="195" t="s">
        <v>455</v>
      </c>
      <c r="E14" s="194" t="s">
        <v>454</v>
      </c>
      <c r="F14" s="196"/>
      <c r="G14" s="196" t="s">
        <v>456</v>
      </c>
      <c r="H14" s="196" t="s">
        <v>457</v>
      </c>
      <c r="I14" s="214" t="s">
        <v>458</v>
      </c>
    </row>
    <row r="15" spans="1:13">
      <c r="A15" s="186"/>
      <c r="B15" s="146"/>
      <c r="C15" s="121" t="s">
        <v>700</v>
      </c>
      <c r="D15" s="198" t="s">
        <v>459</v>
      </c>
      <c r="E15" s="121" t="s">
        <v>454</v>
      </c>
      <c r="F15" s="122"/>
      <c r="G15" s="122">
        <v>2</v>
      </c>
      <c r="H15" s="122">
        <v>1.5</v>
      </c>
      <c r="I15" s="215">
        <f>ROUND(G15*H15,3)</f>
        <v>3</v>
      </c>
      <c r="M15" s="147" t="s">
        <v>460</v>
      </c>
    </row>
    <row r="16" spans="1:13">
      <c r="A16" s="186"/>
      <c r="B16" s="146"/>
      <c r="C16" s="121"/>
      <c r="D16" s="198"/>
      <c r="E16" s="121"/>
      <c r="F16" s="122"/>
      <c r="G16" s="122"/>
      <c r="H16" s="122"/>
      <c r="I16" s="215"/>
    </row>
    <row r="17" spans="1:9">
      <c r="A17" s="186"/>
      <c r="B17" s="146"/>
      <c r="C17" s="199" t="s">
        <v>553</v>
      </c>
      <c r="D17" s="200" t="s">
        <v>462</v>
      </c>
      <c r="E17" s="199" t="s">
        <v>463</v>
      </c>
      <c r="F17" s="201"/>
      <c r="G17" s="201"/>
      <c r="H17" s="201"/>
      <c r="I17" s="216">
        <v>1</v>
      </c>
    </row>
    <row r="18" spans="1:9">
      <c r="A18" s="186"/>
      <c r="B18" s="146"/>
      <c r="C18" s="194" t="s">
        <v>442</v>
      </c>
      <c r="D18" s="195" t="s">
        <v>455</v>
      </c>
      <c r="E18" s="194" t="s">
        <v>463</v>
      </c>
      <c r="F18" s="196"/>
      <c r="G18" s="196" t="s">
        <v>464</v>
      </c>
      <c r="H18" s="196"/>
      <c r="I18" s="214" t="s">
        <v>465</v>
      </c>
    </row>
    <row r="19" spans="1:9">
      <c r="A19" s="186"/>
      <c r="B19" s="146"/>
      <c r="C19" s="121" t="s">
        <v>791</v>
      </c>
      <c r="D19" s="202" t="s">
        <v>462</v>
      </c>
      <c r="E19" s="121" t="s">
        <v>463</v>
      </c>
      <c r="F19" s="122"/>
      <c r="G19" s="122">
        <v>1</v>
      </c>
      <c r="H19" s="122"/>
      <c r="I19" s="215">
        <f>G19</f>
        <v>1</v>
      </c>
    </row>
    <row r="20" spans="1:9">
      <c r="A20" s="186"/>
      <c r="B20" s="146"/>
      <c r="C20" s="121"/>
      <c r="D20" s="202"/>
      <c r="E20" s="121"/>
      <c r="F20" s="122"/>
      <c r="G20" s="122"/>
      <c r="H20" s="122"/>
      <c r="I20" s="215"/>
    </row>
    <row r="21" spans="1:9" ht="28.8">
      <c r="A21" s="186"/>
      <c r="B21" s="146"/>
      <c r="C21" s="199" t="s">
        <v>555</v>
      </c>
      <c r="D21" s="203" t="s">
        <v>1127</v>
      </c>
      <c r="E21" s="199" t="s">
        <v>454</v>
      </c>
      <c r="F21" s="201"/>
      <c r="G21" s="201"/>
      <c r="H21" s="201"/>
      <c r="I21" s="216">
        <f>SUM(I22:I23)</f>
        <v>10</v>
      </c>
    </row>
    <row r="22" spans="1:9">
      <c r="A22" s="186"/>
      <c r="B22" s="146"/>
      <c r="C22" s="194" t="s">
        <v>442</v>
      </c>
      <c r="D22" s="195" t="s">
        <v>466</v>
      </c>
      <c r="E22" s="194" t="s">
        <v>454</v>
      </c>
      <c r="F22" s="196"/>
      <c r="G22" s="196" t="s">
        <v>467</v>
      </c>
      <c r="H22" s="196" t="s">
        <v>468</v>
      </c>
      <c r="I22" s="214" t="s">
        <v>458</v>
      </c>
    </row>
    <row r="23" spans="1:9" ht="28.8">
      <c r="A23" s="186"/>
      <c r="B23" s="146"/>
      <c r="C23" s="121" t="s">
        <v>792</v>
      </c>
      <c r="D23" s="198" t="s">
        <v>1127</v>
      </c>
      <c r="E23" s="121"/>
      <c r="F23" s="122"/>
      <c r="G23" s="122">
        <v>5</v>
      </c>
      <c r="H23" s="122">
        <v>2</v>
      </c>
      <c r="I23" s="215">
        <f>G23*H23</f>
        <v>10</v>
      </c>
    </row>
    <row r="24" spans="1:9" ht="15" thickBot="1">
      <c r="A24" s="217"/>
      <c r="B24" s="218"/>
      <c r="C24" s="219"/>
      <c r="D24" s="220"/>
      <c r="E24" s="219"/>
      <c r="F24" s="221"/>
      <c r="G24" s="221"/>
      <c r="H24" s="221"/>
      <c r="I24" s="222"/>
    </row>
  </sheetData>
  <mergeCells count="3">
    <mergeCell ref="C1:I1"/>
    <mergeCell ref="C3:I3"/>
    <mergeCell ref="A2:I2"/>
  </mergeCells>
  <pageMargins left="0.55118110236220474" right="0.31496062992125984" top="0.35433070866141736" bottom="0.35433070866141736" header="0.15748031496062992" footer="0.19685039370078741"/>
  <pageSetup paperSize="9" scale="71" fitToHeight="39" orientation="portrait" r:id="rId1"/>
  <headerFooter>
    <oddFooter>&amp;LPágina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4"/>
  <sheetViews>
    <sheetView view="pageBreakPreview" zoomScaleNormal="100" zoomScaleSheetLayoutView="100" workbookViewId="0">
      <selection activeCell="B3" sqref="B3"/>
    </sheetView>
  </sheetViews>
  <sheetFormatPr defaultColWidth="11.5546875" defaultRowHeight="56.25" customHeight="1"/>
  <cols>
    <col min="1" max="1" width="11.5546875" style="6"/>
    <col min="2" max="2" width="57.88671875" style="6" customWidth="1"/>
    <col min="3" max="3" width="9" style="6" customWidth="1"/>
    <col min="4" max="4" width="14.44140625" style="6" customWidth="1"/>
    <col min="5" max="16384" width="11.5546875" style="6"/>
  </cols>
  <sheetData>
    <row r="1" spans="1:5" ht="56.25" customHeight="1" thickBot="1">
      <c r="A1" s="746" t="s">
        <v>406</v>
      </c>
      <c r="B1" s="747"/>
      <c r="C1" s="747"/>
      <c r="D1" s="747"/>
      <c r="E1" s="748"/>
    </row>
    <row r="2" spans="1:5" ht="15" thickBot="1">
      <c r="A2" s="182" t="s">
        <v>3</v>
      </c>
      <c r="B2" s="183" t="s">
        <v>4</v>
      </c>
      <c r="C2" s="183" t="s">
        <v>379</v>
      </c>
      <c r="D2" s="183" t="s">
        <v>380</v>
      </c>
      <c r="E2" s="184" t="s">
        <v>405</v>
      </c>
    </row>
    <row r="3" spans="1:5" ht="123.75" customHeight="1">
      <c r="A3" s="165" t="s">
        <v>225</v>
      </c>
      <c r="B3" s="162" t="s">
        <v>368</v>
      </c>
      <c r="C3" s="161" t="s">
        <v>221</v>
      </c>
      <c r="D3" s="160">
        <v>1</v>
      </c>
      <c r="E3" s="166" t="s">
        <v>403</v>
      </c>
    </row>
    <row r="4" spans="1:5" ht="123.75" customHeight="1">
      <c r="A4" s="165" t="s">
        <v>224</v>
      </c>
      <c r="B4" s="162" t="s">
        <v>251</v>
      </c>
      <c r="C4" s="161" t="s">
        <v>221</v>
      </c>
      <c r="D4" s="160">
        <v>1</v>
      </c>
      <c r="E4" s="167" t="s">
        <v>383</v>
      </c>
    </row>
    <row r="5" spans="1:5" ht="123.75" customHeight="1">
      <c r="A5" s="165" t="s">
        <v>220</v>
      </c>
      <c r="B5" s="162" t="s">
        <v>369</v>
      </c>
      <c r="C5" s="161" t="s">
        <v>221</v>
      </c>
      <c r="D5" s="160">
        <v>1</v>
      </c>
      <c r="E5" s="166" t="s">
        <v>404</v>
      </c>
    </row>
    <row r="6" spans="1:5" ht="14.4">
      <c r="A6" s="165"/>
      <c r="B6" s="162"/>
      <c r="C6" s="161" t="s">
        <v>17</v>
      </c>
      <c r="D6" s="160">
        <f>SUM(D3:D5)</f>
        <v>3</v>
      </c>
      <c r="E6" s="166"/>
    </row>
    <row r="7" spans="1:5" ht="123.75" customHeight="1">
      <c r="A7" s="168" t="s">
        <v>226</v>
      </c>
      <c r="B7" s="151" t="s">
        <v>244</v>
      </c>
      <c r="C7" s="152" t="s">
        <v>221</v>
      </c>
      <c r="D7" s="153">
        <v>1</v>
      </c>
      <c r="E7" s="169" t="s">
        <v>382</v>
      </c>
    </row>
    <row r="8" spans="1:5" ht="123.75" customHeight="1">
      <c r="A8" s="168" t="s">
        <v>222</v>
      </c>
      <c r="B8" s="151" t="s">
        <v>244</v>
      </c>
      <c r="C8" s="152" t="s">
        <v>221</v>
      </c>
      <c r="D8" s="153">
        <v>1</v>
      </c>
      <c r="E8" s="169" t="s">
        <v>388</v>
      </c>
    </row>
    <row r="9" spans="1:5" ht="123.75" customHeight="1">
      <c r="A9" s="168" t="s">
        <v>222</v>
      </c>
      <c r="B9" s="151" t="s">
        <v>298</v>
      </c>
      <c r="C9" s="152" t="s">
        <v>221</v>
      </c>
      <c r="D9" s="154">
        <v>3</v>
      </c>
      <c r="E9" s="169" t="s">
        <v>391</v>
      </c>
    </row>
    <row r="10" spans="1:5" ht="123.75" customHeight="1">
      <c r="A10" s="168" t="s">
        <v>224</v>
      </c>
      <c r="B10" s="151" t="s">
        <v>318</v>
      </c>
      <c r="C10" s="152" t="s">
        <v>221</v>
      </c>
      <c r="D10" s="153">
        <v>2</v>
      </c>
      <c r="E10" s="169" t="s">
        <v>393</v>
      </c>
    </row>
    <row r="11" spans="1:5" ht="14.4">
      <c r="A11" s="168"/>
      <c r="B11" s="151"/>
      <c r="C11" s="152" t="s">
        <v>17</v>
      </c>
      <c r="D11" s="153">
        <f>SUM(D7:D10)</f>
        <v>7</v>
      </c>
      <c r="E11" s="169"/>
    </row>
    <row r="12" spans="1:5" ht="66">
      <c r="A12" s="165" t="s">
        <v>223</v>
      </c>
      <c r="B12" s="162" t="s">
        <v>280</v>
      </c>
      <c r="C12" s="161" t="s">
        <v>221</v>
      </c>
      <c r="D12" s="160">
        <v>1</v>
      </c>
      <c r="E12" s="166" t="s">
        <v>388</v>
      </c>
    </row>
    <row r="13" spans="1:5" ht="14.4">
      <c r="A13" s="165"/>
      <c r="B13" s="162"/>
      <c r="C13" s="161" t="s">
        <v>17</v>
      </c>
      <c r="D13" s="160">
        <f>SUM(D12)</f>
        <v>1</v>
      </c>
      <c r="E13" s="166"/>
    </row>
    <row r="14" spans="1:5" ht="123.75" customHeight="1">
      <c r="A14" s="168" t="s">
        <v>222</v>
      </c>
      <c r="B14" s="151" t="s">
        <v>360</v>
      </c>
      <c r="C14" s="152" t="s">
        <v>221</v>
      </c>
      <c r="D14" s="153">
        <v>4</v>
      </c>
      <c r="E14" s="170" t="s">
        <v>402</v>
      </c>
    </row>
    <row r="15" spans="1:5" ht="123.75" customHeight="1">
      <c r="A15" s="168" t="s">
        <v>222</v>
      </c>
      <c r="B15" s="151" t="s">
        <v>323</v>
      </c>
      <c r="C15" s="152" t="s">
        <v>221</v>
      </c>
      <c r="D15" s="153">
        <v>4</v>
      </c>
      <c r="E15" s="169" t="s">
        <v>394</v>
      </c>
    </row>
    <row r="16" spans="1:5" ht="123.75" customHeight="1">
      <c r="A16" s="168" t="s">
        <v>220</v>
      </c>
      <c r="B16" s="151" t="s">
        <v>334</v>
      </c>
      <c r="C16" s="152" t="s">
        <v>221</v>
      </c>
      <c r="D16" s="153">
        <v>3</v>
      </c>
      <c r="E16" s="169" t="s">
        <v>396</v>
      </c>
    </row>
    <row r="17" spans="1:5" ht="123.75" customHeight="1">
      <c r="A17" s="168" t="s">
        <v>224</v>
      </c>
      <c r="B17" s="151" t="s">
        <v>345</v>
      </c>
      <c r="C17" s="152" t="s">
        <v>221</v>
      </c>
      <c r="D17" s="153">
        <v>4</v>
      </c>
      <c r="E17" s="169" t="s">
        <v>398</v>
      </c>
    </row>
    <row r="18" spans="1:5" ht="123.75" customHeight="1">
      <c r="A18" s="168" t="s">
        <v>220</v>
      </c>
      <c r="B18" s="151" t="s">
        <v>354</v>
      </c>
      <c r="C18" s="152" t="s">
        <v>221</v>
      </c>
      <c r="D18" s="153">
        <v>3</v>
      </c>
      <c r="E18" s="169" t="s">
        <v>401</v>
      </c>
    </row>
    <row r="19" spans="1:5" ht="123.75" customHeight="1">
      <c r="A19" s="168" t="s">
        <v>220</v>
      </c>
      <c r="B19" s="151" t="s">
        <v>291</v>
      </c>
      <c r="C19" s="152" t="s">
        <v>221</v>
      </c>
      <c r="D19" s="153">
        <v>4</v>
      </c>
      <c r="E19" s="169" t="s">
        <v>390</v>
      </c>
    </row>
    <row r="20" spans="1:5" ht="123.75" customHeight="1">
      <c r="A20" s="168" t="s">
        <v>220</v>
      </c>
      <c r="B20" s="151" t="s">
        <v>364</v>
      </c>
      <c r="C20" s="152" t="s">
        <v>221</v>
      </c>
      <c r="D20" s="153">
        <v>6</v>
      </c>
      <c r="E20" s="169" t="s">
        <v>403</v>
      </c>
    </row>
    <row r="21" spans="1:5" ht="123.75" customHeight="1">
      <c r="A21" s="168" t="s">
        <v>222</v>
      </c>
      <c r="B21" s="151" t="s">
        <v>257</v>
      </c>
      <c r="C21" s="152" t="s">
        <v>221</v>
      </c>
      <c r="D21" s="153">
        <v>3</v>
      </c>
      <c r="E21" s="169" t="s">
        <v>384</v>
      </c>
    </row>
    <row r="22" spans="1:5" ht="123.75" customHeight="1">
      <c r="A22" s="168" t="s">
        <v>224</v>
      </c>
      <c r="B22" s="151" t="s">
        <v>275</v>
      </c>
      <c r="C22" s="152" t="s">
        <v>221</v>
      </c>
      <c r="D22" s="153">
        <v>2</v>
      </c>
      <c r="E22" s="170" t="s">
        <v>387</v>
      </c>
    </row>
    <row r="23" spans="1:5" ht="123.75" customHeight="1">
      <c r="A23" s="171" t="s">
        <v>223</v>
      </c>
      <c r="B23" s="159" t="s">
        <v>288</v>
      </c>
      <c r="C23" s="158" t="s">
        <v>221</v>
      </c>
      <c r="D23" s="157">
        <v>3</v>
      </c>
      <c r="E23" s="172" t="s">
        <v>389</v>
      </c>
    </row>
    <row r="24" spans="1:5" ht="123.75" customHeight="1">
      <c r="A24" s="168" t="s">
        <v>223</v>
      </c>
      <c r="B24" s="151" t="s">
        <v>288</v>
      </c>
      <c r="C24" s="152" t="s">
        <v>221</v>
      </c>
      <c r="D24" s="153">
        <v>3</v>
      </c>
      <c r="E24" s="170" t="s">
        <v>400</v>
      </c>
    </row>
    <row r="25" spans="1:5" ht="123.75" customHeight="1">
      <c r="A25" s="168" t="s">
        <v>223</v>
      </c>
      <c r="B25" s="151" t="s">
        <v>341</v>
      </c>
      <c r="C25" s="152" t="s">
        <v>221</v>
      </c>
      <c r="D25" s="153">
        <v>4</v>
      </c>
      <c r="E25" s="169" t="s">
        <v>397</v>
      </c>
    </row>
    <row r="26" spans="1:5" ht="123.75" customHeight="1">
      <c r="A26" s="168" t="s">
        <v>224</v>
      </c>
      <c r="B26" s="151" t="s">
        <v>300</v>
      </c>
      <c r="C26" s="152" t="s">
        <v>221</v>
      </c>
      <c r="D26" s="154">
        <v>2</v>
      </c>
      <c r="E26" s="169" t="s">
        <v>391</v>
      </c>
    </row>
    <row r="27" spans="1:5" ht="123.75" customHeight="1">
      <c r="A27" s="168" t="s">
        <v>223</v>
      </c>
      <c r="B27" s="151" t="s">
        <v>330</v>
      </c>
      <c r="C27" s="152" t="s">
        <v>221</v>
      </c>
      <c r="D27" s="154">
        <v>9</v>
      </c>
      <c r="E27" s="169" t="s">
        <v>395</v>
      </c>
    </row>
    <row r="28" spans="1:5" ht="15.6">
      <c r="A28" s="168"/>
      <c r="B28" s="151"/>
      <c r="C28" s="152" t="s">
        <v>17</v>
      </c>
      <c r="D28" s="156">
        <f>SUM(D14:D27)</f>
        <v>54</v>
      </c>
      <c r="E28" s="169"/>
    </row>
    <row r="29" spans="1:5" ht="123.75" customHeight="1">
      <c r="A29" s="165" t="s">
        <v>222</v>
      </c>
      <c r="B29" s="162" t="s">
        <v>263</v>
      </c>
      <c r="C29" s="161" t="s">
        <v>221</v>
      </c>
      <c r="D29" s="160">
        <v>1</v>
      </c>
      <c r="E29" s="166" t="s">
        <v>385</v>
      </c>
    </row>
    <row r="30" spans="1:5" ht="14.4">
      <c r="A30" s="165"/>
      <c r="B30" s="162"/>
      <c r="C30" s="161" t="s">
        <v>17</v>
      </c>
      <c r="D30" s="160">
        <f>SUM(D29)</f>
        <v>1</v>
      </c>
      <c r="E30" s="166"/>
    </row>
    <row r="31" spans="1:5" ht="123.75" customHeight="1">
      <c r="A31" s="168" t="s">
        <v>222</v>
      </c>
      <c r="B31" s="151" t="s">
        <v>370</v>
      </c>
      <c r="C31" s="152" t="s">
        <v>221</v>
      </c>
      <c r="D31" s="153">
        <v>3</v>
      </c>
      <c r="E31" s="169" t="s">
        <v>404</v>
      </c>
    </row>
    <row r="32" spans="1:5" ht="14.4">
      <c r="A32" s="168"/>
      <c r="B32" s="151"/>
      <c r="C32" s="152" t="s">
        <v>17</v>
      </c>
      <c r="D32" s="153">
        <f>SUM(D31)</f>
        <v>3</v>
      </c>
      <c r="E32" s="169"/>
    </row>
    <row r="33" spans="1:5" ht="123.75" customHeight="1">
      <c r="A33" s="165" t="s">
        <v>224</v>
      </c>
      <c r="B33" s="162" t="s">
        <v>235</v>
      </c>
      <c r="C33" s="161" t="s">
        <v>221</v>
      </c>
      <c r="D33" s="160">
        <v>3</v>
      </c>
      <c r="E33" s="166" t="s">
        <v>381</v>
      </c>
    </row>
    <row r="34" spans="1:5" ht="123.75" customHeight="1">
      <c r="A34" s="165" t="s">
        <v>222</v>
      </c>
      <c r="B34" s="162" t="s">
        <v>240</v>
      </c>
      <c r="C34" s="161" t="s">
        <v>221</v>
      </c>
      <c r="D34" s="160">
        <v>1</v>
      </c>
      <c r="E34" s="166" t="s">
        <v>382</v>
      </c>
    </row>
    <row r="35" spans="1:5" ht="14.4">
      <c r="A35" s="165"/>
      <c r="B35" s="162"/>
      <c r="C35" s="161" t="s">
        <v>17</v>
      </c>
      <c r="D35" s="160">
        <f>SUM(D33:D34)</f>
        <v>4</v>
      </c>
      <c r="E35" s="166"/>
    </row>
    <row r="36" spans="1:5" ht="66">
      <c r="A36" s="168" t="s">
        <v>226</v>
      </c>
      <c r="B36" s="151" t="s">
        <v>310</v>
      </c>
      <c r="C36" s="152" t="s">
        <v>221</v>
      </c>
      <c r="D36" s="153">
        <v>2</v>
      </c>
      <c r="E36" s="169" t="s">
        <v>392</v>
      </c>
    </row>
    <row r="37" spans="1:5" ht="66">
      <c r="A37" s="168" t="s">
        <v>225</v>
      </c>
      <c r="B37" s="151" t="s">
        <v>373</v>
      </c>
      <c r="C37" s="152" t="s">
        <v>221</v>
      </c>
      <c r="D37" s="153">
        <v>1</v>
      </c>
      <c r="E37" s="169" t="s">
        <v>404</v>
      </c>
    </row>
    <row r="38" spans="1:5" ht="14.4">
      <c r="A38" s="168"/>
      <c r="B38" s="151"/>
      <c r="C38" s="152" t="s">
        <v>17</v>
      </c>
      <c r="D38" s="153">
        <f>SUM(D36:D37)</f>
        <v>3</v>
      </c>
      <c r="E38" s="169"/>
    </row>
    <row r="39" spans="1:5" ht="123.75" customHeight="1">
      <c r="A39" s="165" t="s">
        <v>224</v>
      </c>
      <c r="B39" s="162" t="s">
        <v>367</v>
      </c>
      <c r="C39" s="161" t="s">
        <v>221</v>
      </c>
      <c r="D39" s="160">
        <v>7</v>
      </c>
      <c r="E39" s="166" t="s">
        <v>403</v>
      </c>
    </row>
    <row r="40" spans="1:5" ht="118.8">
      <c r="A40" s="165" t="s">
        <v>220</v>
      </c>
      <c r="B40" s="162" t="s">
        <v>262</v>
      </c>
      <c r="C40" s="161" t="s">
        <v>221</v>
      </c>
      <c r="D40" s="155">
        <v>17</v>
      </c>
      <c r="E40" s="166" t="s">
        <v>385</v>
      </c>
    </row>
    <row r="41" spans="1:5" ht="132">
      <c r="A41" s="165" t="s">
        <v>225</v>
      </c>
      <c r="B41" s="162" t="s">
        <v>243</v>
      </c>
      <c r="C41" s="161" t="s">
        <v>221</v>
      </c>
      <c r="D41" s="155">
        <v>21</v>
      </c>
      <c r="E41" s="166" t="s">
        <v>382</v>
      </c>
    </row>
    <row r="42" spans="1:5" ht="132">
      <c r="A42" s="165" t="s">
        <v>220</v>
      </c>
      <c r="B42" s="162" t="s">
        <v>243</v>
      </c>
      <c r="C42" s="161" t="s">
        <v>221</v>
      </c>
      <c r="D42" s="155">
        <v>21</v>
      </c>
      <c r="E42" s="166" t="s">
        <v>388</v>
      </c>
    </row>
    <row r="43" spans="1:5" ht="105.6">
      <c r="A43" s="165" t="s">
        <v>220</v>
      </c>
      <c r="B43" s="162" t="s">
        <v>239</v>
      </c>
      <c r="C43" s="161" t="s">
        <v>221</v>
      </c>
      <c r="D43" s="160">
        <v>4</v>
      </c>
      <c r="E43" s="166" t="s">
        <v>382</v>
      </c>
    </row>
    <row r="44" spans="1:5" ht="123.75" customHeight="1">
      <c r="A44" s="165" t="s">
        <v>223</v>
      </c>
      <c r="B44" s="162" t="s">
        <v>250</v>
      </c>
      <c r="C44" s="161" t="s">
        <v>221</v>
      </c>
      <c r="D44" s="160">
        <v>7</v>
      </c>
      <c r="E44" s="167" t="s">
        <v>383</v>
      </c>
    </row>
    <row r="45" spans="1:5" ht="123.75" customHeight="1">
      <c r="A45" s="165" t="s">
        <v>223</v>
      </c>
      <c r="B45" s="162" t="s">
        <v>258</v>
      </c>
      <c r="C45" s="161" t="s">
        <v>221</v>
      </c>
      <c r="D45" s="160">
        <v>1</v>
      </c>
      <c r="E45" s="166" t="s">
        <v>384</v>
      </c>
    </row>
    <row r="46" spans="1:5" ht="123.75" customHeight="1">
      <c r="A46" s="165" t="s">
        <v>223</v>
      </c>
      <c r="B46" s="162" t="s">
        <v>317</v>
      </c>
      <c r="C46" s="161" t="s">
        <v>221</v>
      </c>
      <c r="D46" s="160">
        <v>1</v>
      </c>
      <c r="E46" s="166" t="s">
        <v>393</v>
      </c>
    </row>
    <row r="47" spans="1:5" ht="123.75" customHeight="1">
      <c r="A47" s="165" t="s">
        <v>224</v>
      </c>
      <c r="B47" s="162" t="s">
        <v>294</v>
      </c>
      <c r="C47" s="161" t="s">
        <v>221</v>
      </c>
      <c r="D47" s="160">
        <v>2</v>
      </c>
      <c r="E47" s="166" t="s">
        <v>390</v>
      </c>
    </row>
    <row r="48" spans="1:5" ht="123.75" customHeight="1">
      <c r="A48" s="165" t="s">
        <v>225</v>
      </c>
      <c r="B48" s="162" t="s">
        <v>309</v>
      </c>
      <c r="C48" s="161" t="s">
        <v>221</v>
      </c>
      <c r="D48" s="160">
        <v>4</v>
      </c>
      <c r="E48" s="166" t="s">
        <v>392</v>
      </c>
    </row>
    <row r="49" spans="1:5" ht="123.75" customHeight="1">
      <c r="A49" s="165" t="s">
        <v>225</v>
      </c>
      <c r="B49" s="162" t="s">
        <v>301</v>
      </c>
      <c r="C49" s="161" t="s">
        <v>221</v>
      </c>
      <c r="D49" s="160">
        <v>1</v>
      </c>
      <c r="E49" s="166" t="s">
        <v>391</v>
      </c>
    </row>
    <row r="50" spans="1:5" ht="123.75" customHeight="1">
      <c r="A50" s="165" t="s">
        <v>222</v>
      </c>
      <c r="B50" s="162" t="s">
        <v>233</v>
      </c>
      <c r="C50" s="161" t="s">
        <v>221</v>
      </c>
      <c r="D50" s="160">
        <v>2</v>
      </c>
      <c r="E50" s="166" t="s">
        <v>381</v>
      </c>
    </row>
    <row r="51" spans="1:5" ht="14.4">
      <c r="A51" s="165"/>
      <c r="B51" s="162"/>
      <c r="C51" s="161" t="s">
        <v>17</v>
      </c>
      <c r="D51" s="160">
        <f>SUM(D39:D50)</f>
        <v>88</v>
      </c>
      <c r="E51" s="166"/>
    </row>
    <row r="52" spans="1:5" ht="123.75" customHeight="1">
      <c r="A52" s="168" t="s">
        <v>222</v>
      </c>
      <c r="B52" s="151" t="s">
        <v>351</v>
      </c>
      <c r="C52" s="152" t="s">
        <v>221</v>
      </c>
      <c r="D52" s="153">
        <v>2</v>
      </c>
      <c r="E52" s="170" t="s">
        <v>399</v>
      </c>
    </row>
    <row r="53" spans="1:5" ht="14.4">
      <c r="A53" s="168"/>
      <c r="B53" s="151"/>
      <c r="C53" s="152" t="s">
        <v>17</v>
      </c>
      <c r="D53" s="153">
        <f>SUM(D52)</f>
        <v>2</v>
      </c>
      <c r="E53" s="170"/>
    </row>
    <row r="54" spans="1:5" ht="123.75" customHeight="1">
      <c r="A54" s="165" t="s">
        <v>220</v>
      </c>
      <c r="B54" s="162" t="s">
        <v>286</v>
      </c>
      <c r="C54" s="161" t="s">
        <v>221</v>
      </c>
      <c r="D54" s="160">
        <v>2</v>
      </c>
      <c r="E54" s="166" t="s">
        <v>389</v>
      </c>
    </row>
    <row r="55" spans="1:5" ht="123.75" customHeight="1">
      <c r="A55" s="165" t="s">
        <v>220</v>
      </c>
      <c r="B55" s="162" t="s">
        <v>286</v>
      </c>
      <c r="C55" s="161" t="s">
        <v>221</v>
      </c>
      <c r="D55" s="155">
        <v>2</v>
      </c>
      <c r="E55" s="166" t="s">
        <v>397</v>
      </c>
    </row>
    <row r="56" spans="1:5" ht="123.75" customHeight="1">
      <c r="A56" s="165" t="s">
        <v>220</v>
      </c>
      <c r="B56" s="162" t="s">
        <v>286</v>
      </c>
      <c r="C56" s="161" t="s">
        <v>221</v>
      </c>
      <c r="D56" s="160">
        <v>2</v>
      </c>
      <c r="E56" s="173" t="s">
        <v>400</v>
      </c>
    </row>
    <row r="57" spans="1:5" ht="132">
      <c r="A57" s="165" t="s">
        <v>220</v>
      </c>
      <c r="B57" s="162" t="s">
        <v>350</v>
      </c>
      <c r="C57" s="161" t="s">
        <v>221</v>
      </c>
      <c r="D57" s="160">
        <v>16</v>
      </c>
      <c r="E57" s="173" t="s">
        <v>399</v>
      </c>
    </row>
    <row r="58" spans="1:5" ht="123.75" customHeight="1">
      <c r="A58" s="165" t="s">
        <v>220</v>
      </c>
      <c r="B58" s="162" t="s">
        <v>267</v>
      </c>
      <c r="C58" s="161" t="s">
        <v>221</v>
      </c>
      <c r="D58" s="155">
        <v>5</v>
      </c>
      <c r="E58" s="173" t="s">
        <v>386</v>
      </c>
    </row>
    <row r="59" spans="1:5" ht="118.8">
      <c r="A59" s="165" t="s">
        <v>222</v>
      </c>
      <c r="B59" s="162" t="s">
        <v>335</v>
      </c>
      <c r="C59" s="161" t="s">
        <v>221</v>
      </c>
      <c r="D59" s="160">
        <v>11</v>
      </c>
      <c r="E59" s="166" t="s">
        <v>396</v>
      </c>
    </row>
    <row r="60" spans="1:5" ht="123.75" customHeight="1">
      <c r="A60" s="165" t="s">
        <v>222</v>
      </c>
      <c r="B60" s="162" t="s">
        <v>292</v>
      </c>
      <c r="C60" s="161" t="s">
        <v>221</v>
      </c>
      <c r="D60" s="160">
        <v>2</v>
      </c>
      <c r="E60" s="166" t="s">
        <v>390</v>
      </c>
    </row>
    <row r="61" spans="1:5" ht="123.75" customHeight="1">
      <c r="A61" s="165" t="s">
        <v>222</v>
      </c>
      <c r="B61" s="162" t="s">
        <v>365</v>
      </c>
      <c r="C61" s="161" t="s">
        <v>221</v>
      </c>
      <c r="D61" s="160">
        <v>8</v>
      </c>
      <c r="E61" s="166" t="s">
        <v>403</v>
      </c>
    </row>
    <row r="62" spans="1:5" ht="123.75" customHeight="1">
      <c r="A62" s="165" t="s">
        <v>222</v>
      </c>
      <c r="B62" s="162" t="s">
        <v>249</v>
      </c>
      <c r="C62" s="161" t="s">
        <v>221</v>
      </c>
      <c r="D62" s="160">
        <v>13</v>
      </c>
      <c r="E62" s="167" t="s">
        <v>383</v>
      </c>
    </row>
    <row r="63" spans="1:5" ht="123.75" customHeight="1">
      <c r="A63" s="165" t="s">
        <v>222</v>
      </c>
      <c r="B63" s="162" t="s">
        <v>355</v>
      </c>
      <c r="C63" s="161" t="s">
        <v>221</v>
      </c>
      <c r="D63" s="160">
        <v>3</v>
      </c>
      <c r="E63" s="166" t="s">
        <v>401</v>
      </c>
    </row>
    <row r="64" spans="1:5" ht="123.75" customHeight="1">
      <c r="A64" s="165" t="s">
        <v>223</v>
      </c>
      <c r="B64" s="162" t="s">
        <v>299</v>
      </c>
      <c r="C64" s="161" t="s">
        <v>221</v>
      </c>
      <c r="D64" s="155">
        <v>4</v>
      </c>
      <c r="E64" s="166" t="s">
        <v>391</v>
      </c>
    </row>
    <row r="65" spans="1:5" ht="118.8">
      <c r="A65" s="165" t="s">
        <v>224</v>
      </c>
      <c r="B65" s="162" t="s">
        <v>281</v>
      </c>
      <c r="C65" s="161" t="s">
        <v>221</v>
      </c>
      <c r="D65" s="155">
        <v>11</v>
      </c>
      <c r="E65" s="166" t="s">
        <v>388</v>
      </c>
    </row>
    <row r="66" spans="1:5" ht="123.75" customHeight="1">
      <c r="A66" s="165" t="s">
        <v>223</v>
      </c>
      <c r="B66" s="162" t="s">
        <v>241</v>
      </c>
      <c r="C66" s="161" t="s">
        <v>221</v>
      </c>
      <c r="D66" s="160">
        <v>6</v>
      </c>
      <c r="E66" s="166" t="s">
        <v>382</v>
      </c>
    </row>
    <row r="67" spans="1:5" ht="123.75" customHeight="1">
      <c r="A67" s="165" t="s">
        <v>225</v>
      </c>
      <c r="B67" s="162" t="s">
        <v>276</v>
      </c>
      <c r="C67" s="161" t="s">
        <v>221</v>
      </c>
      <c r="D67" s="160">
        <v>1</v>
      </c>
      <c r="E67" s="173" t="s">
        <v>387</v>
      </c>
    </row>
    <row r="68" spans="1:5" ht="123.75" customHeight="1">
      <c r="A68" s="165" t="s">
        <v>223</v>
      </c>
      <c r="B68" s="162" t="s">
        <v>234</v>
      </c>
      <c r="C68" s="161" t="s">
        <v>221</v>
      </c>
      <c r="D68" s="160">
        <v>5</v>
      </c>
      <c r="E68" s="166" t="s">
        <v>381</v>
      </c>
    </row>
    <row r="69" spans="1:5" ht="123.75" customHeight="1">
      <c r="A69" s="165" t="s">
        <v>224</v>
      </c>
      <c r="B69" s="162" t="s">
        <v>308</v>
      </c>
      <c r="C69" s="161" t="s">
        <v>221</v>
      </c>
      <c r="D69" s="155">
        <v>3</v>
      </c>
      <c r="E69" s="166" t="s">
        <v>392</v>
      </c>
    </row>
    <row r="70" spans="1:5" ht="123.75" customHeight="1">
      <c r="A70" s="165" t="s">
        <v>220</v>
      </c>
      <c r="B70" s="162" t="s">
        <v>359</v>
      </c>
      <c r="C70" s="161" t="s">
        <v>221</v>
      </c>
      <c r="D70" s="160">
        <v>2</v>
      </c>
      <c r="E70" s="173" t="s">
        <v>402</v>
      </c>
    </row>
    <row r="71" spans="1:5" ht="123.75" customHeight="1">
      <c r="A71" s="165" t="s">
        <v>220</v>
      </c>
      <c r="B71" s="162" t="s">
        <v>322</v>
      </c>
      <c r="C71" s="161" t="s">
        <v>221</v>
      </c>
      <c r="D71" s="160">
        <v>4</v>
      </c>
      <c r="E71" s="166" t="s">
        <v>394</v>
      </c>
    </row>
    <row r="72" spans="1:5" ht="123.75" customHeight="1">
      <c r="A72" s="165" t="s">
        <v>225</v>
      </c>
      <c r="B72" s="162" t="s">
        <v>319</v>
      </c>
      <c r="C72" s="161" t="s">
        <v>221</v>
      </c>
      <c r="D72" s="160">
        <v>3</v>
      </c>
      <c r="E72" s="166" t="s">
        <v>393</v>
      </c>
    </row>
    <row r="73" spans="1:5" ht="14.4">
      <c r="A73" s="165"/>
      <c r="B73" s="162"/>
      <c r="C73" s="161" t="s">
        <v>17</v>
      </c>
      <c r="D73" s="160">
        <f>SUM(D54:D72)</f>
        <v>103</v>
      </c>
      <c r="E73" s="166"/>
    </row>
    <row r="74" spans="1:5" ht="66">
      <c r="A74" s="168" t="s">
        <v>226</v>
      </c>
      <c r="B74" s="151" t="s">
        <v>374</v>
      </c>
      <c r="C74" s="152" t="s">
        <v>221</v>
      </c>
      <c r="D74" s="153">
        <v>9</v>
      </c>
      <c r="E74" s="169" t="s">
        <v>404</v>
      </c>
    </row>
    <row r="75" spans="1:5" ht="14.4">
      <c r="A75" s="168"/>
      <c r="B75" s="151"/>
      <c r="C75" s="152" t="s">
        <v>17</v>
      </c>
      <c r="D75" s="153">
        <f>SUM(D74)</f>
        <v>9</v>
      </c>
      <c r="E75" s="169"/>
    </row>
    <row r="76" spans="1:5" ht="66">
      <c r="A76" s="165" t="s">
        <v>220</v>
      </c>
      <c r="B76" s="162" t="s">
        <v>305</v>
      </c>
      <c r="C76" s="161" t="s">
        <v>221</v>
      </c>
      <c r="D76" s="160">
        <v>6</v>
      </c>
      <c r="E76" s="166" t="s">
        <v>392</v>
      </c>
    </row>
    <row r="77" spans="1:5" ht="66">
      <c r="A77" s="165" t="s">
        <v>227</v>
      </c>
      <c r="B77" s="162" t="s">
        <v>375</v>
      </c>
      <c r="C77" s="161" t="s">
        <v>221</v>
      </c>
      <c r="D77" s="160">
        <v>2</v>
      </c>
      <c r="E77" s="166" t="s">
        <v>404</v>
      </c>
    </row>
    <row r="78" spans="1:5" ht="14.4">
      <c r="A78" s="165"/>
      <c r="B78" s="162"/>
      <c r="C78" s="161" t="s">
        <v>17</v>
      </c>
      <c r="D78" s="160">
        <f>SUM(D76:D77)</f>
        <v>8</v>
      </c>
      <c r="E78" s="166"/>
    </row>
    <row r="79" spans="1:5" ht="145.19999999999999">
      <c r="A79" s="168" t="s">
        <v>223</v>
      </c>
      <c r="B79" s="151" t="s">
        <v>371</v>
      </c>
      <c r="C79" s="152" t="s">
        <v>221</v>
      </c>
      <c r="D79" s="153">
        <v>18</v>
      </c>
      <c r="E79" s="169" t="s">
        <v>404</v>
      </c>
    </row>
    <row r="80" spans="1:5" ht="14.4">
      <c r="A80" s="168"/>
      <c r="B80" s="151"/>
      <c r="C80" s="152" t="s">
        <v>17</v>
      </c>
      <c r="D80" s="153">
        <f>SUM(D79)</f>
        <v>18</v>
      </c>
      <c r="E80" s="169"/>
    </row>
    <row r="81" spans="1:5" ht="158.4">
      <c r="A81" s="165" t="s">
        <v>220</v>
      </c>
      <c r="B81" s="162" t="s">
        <v>232</v>
      </c>
      <c r="C81" s="161" t="s">
        <v>221</v>
      </c>
      <c r="D81" s="155">
        <v>41</v>
      </c>
      <c r="E81" s="166" t="s">
        <v>381</v>
      </c>
    </row>
    <row r="82" spans="1:5" ht="132">
      <c r="A82" s="165" t="s">
        <v>220</v>
      </c>
      <c r="B82" s="162" t="s">
        <v>328</v>
      </c>
      <c r="C82" s="161" t="s">
        <v>221</v>
      </c>
      <c r="D82" s="155">
        <v>28</v>
      </c>
      <c r="E82" s="166" t="s">
        <v>395</v>
      </c>
    </row>
    <row r="83" spans="1:5" ht="123.75" customHeight="1">
      <c r="A83" s="165" t="s">
        <v>220</v>
      </c>
      <c r="B83" s="162" t="s">
        <v>297</v>
      </c>
      <c r="C83" s="161" t="s">
        <v>221</v>
      </c>
      <c r="D83" s="155">
        <v>10</v>
      </c>
      <c r="E83" s="166" t="s">
        <v>391</v>
      </c>
    </row>
    <row r="84" spans="1:5" ht="123.75" customHeight="1">
      <c r="A84" s="165" t="s">
        <v>220</v>
      </c>
      <c r="B84" s="162" t="s">
        <v>342</v>
      </c>
      <c r="C84" s="161" t="s">
        <v>221</v>
      </c>
      <c r="D84" s="160">
        <v>10</v>
      </c>
      <c r="E84" s="166" t="s">
        <v>398</v>
      </c>
    </row>
    <row r="85" spans="1:5" ht="123.75" customHeight="1">
      <c r="A85" s="165" t="s">
        <v>220</v>
      </c>
      <c r="B85" s="162" t="s">
        <v>315</v>
      </c>
      <c r="C85" s="161" t="s">
        <v>221</v>
      </c>
      <c r="D85" s="155">
        <v>28</v>
      </c>
      <c r="E85" s="166" t="s">
        <v>393</v>
      </c>
    </row>
    <row r="86" spans="1:5" ht="132">
      <c r="A86" s="165" t="s">
        <v>220</v>
      </c>
      <c r="B86" s="162" t="s">
        <v>256</v>
      </c>
      <c r="C86" s="161" t="s">
        <v>221</v>
      </c>
      <c r="D86" s="160">
        <v>16</v>
      </c>
      <c r="E86" s="166" t="s">
        <v>384</v>
      </c>
    </row>
    <row r="87" spans="1:5" ht="123.75" customHeight="1">
      <c r="A87" s="165" t="s">
        <v>220</v>
      </c>
      <c r="B87" s="162" t="s">
        <v>248</v>
      </c>
      <c r="C87" s="161" t="s">
        <v>221</v>
      </c>
      <c r="D87" s="160">
        <v>4</v>
      </c>
      <c r="E87" s="167" t="s">
        <v>383</v>
      </c>
    </row>
    <row r="88" spans="1:5" ht="123.75" customHeight="1">
      <c r="A88" s="165" t="s">
        <v>222</v>
      </c>
      <c r="B88" s="162" t="s">
        <v>268</v>
      </c>
      <c r="C88" s="161" t="s">
        <v>221</v>
      </c>
      <c r="D88" s="160">
        <v>4</v>
      </c>
      <c r="E88" s="173" t="s">
        <v>386</v>
      </c>
    </row>
    <row r="89" spans="1:5" ht="123.75" customHeight="1">
      <c r="A89" s="165" t="s">
        <v>223</v>
      </c>
      <c r="B89" s="162" t="s">
        <v>361</v>
      </c>
      <c r="C89" s="161" t="s">
        <v>221</v>
      </c>
      <c r="D89" s="160">
        <v>6</v>
      </c>
      <c r="E89" s="173" t="s">
        <v>402</v>
      </c>
    </row>
    <row r="90" spans="1:5" ht="123.75" customHeight="1">
      <c r="A90" s="165" t="s">
        <v>222</v>
      </c>
      <c r="B90" s="162" t="s">
        <v>287</v>
      </c>
      <c r="C90" s="161" t="s">
        <v>221</v>
      </c>
      <c r="D90" s="160">
        <v>10</v>
      </c>
      <c r="E90" s="166" t="s">
        <v>389</v>
      </c>
    </row>
    <row r="91" spans="1:5" ht="123.75" customHeight="1">
      <c r="A91" s="165" t="s">
        <v>222</v>
      </c>
      <c r="B91" s="162" t="s">
        <v>287</v>
      </c>
      <c r="C91" s="161" t="s">
        <v>221</v>
      </c>
      <c r="D91" s="155">
        <v>10</v>
      </c>
      <c r="E91" s="166" t="s">
        <v>397</v>
      </c>
    </row>
    <row r="92" spans="1:5" ht="123.75" customHeight="1">
      <c r="A92" s="165" t="s">
        <v>222</v>
      </c>
      <c r="B92" s="162" t="s">
        <v>287</v>
      </c>
      <c r="C92" s="161" t="s">
        <v>221</v>
      </c>
      <c r="D92" s="160">
        <v>10</v>
      </c>
      <c r="E92" s="173" t="s">
        <v>400</v>
      </c>
    </row>
    <row r="93" spans="1:5" ht="123.75" customHeight="1">
      <c r="A93" s="165" t="s">
        <v>223</v>
      </c>
      <c r="B93" s="162" t="s">
        <v>324</v>
      </c>
      <c r="C93" s="161" t="s">
        <v>221</v>
      </c>
      <c r="D93" s="155">
        <v>22</v>
      </c>
      <c r="E93" s="166" t="s">
        <v>394</v>
      </c>
    </row>
    <row r="94" spans="1:5" ht="123.75" customHeight="1">
      <c r="A94" s="165" t="s">
        <v>222</v>
      </c>
      <c r="B94" s="162" t="s">
        <v>273</v>
      </c>
      <c r="C94" s="161" t="s">
        <v>221</v>
      </c>
      <c r="D94" s="155">
        <v>6</v>
      </c>
      <c r="E94" s="173" t="s">
        <v>387</v>
      </c>
    </row>
    <row r="95" spans="1:5" ht="123.75" customHeight="1">
      <c r="A95" s="165" t="s">
        <v>223</v>
      </c>
      <c r="B95" s="162" t="s">
        <v>293</v>
      </c>
      <c r="C95" s="161" t="s">
        <v>221</v>
      </c>
      <c r="D95" s="160">
        <v>10</v>
      </c>
      <c r="E95" s="166" t="s">
        <v>390</v>
      </c>
    </row>
    <row r="96" spans="1:5" ht="123.75" customHeight="1">
      <c r="A96" s="165" t="s">
        <v>223</v>
      </c>
      <c r="B96" s="162" t="s">
        <v>356</v>
      </c>
      <c r="C96" s="161" t="s">
        <v>221</v>
      </c>
      <c r="D96" s="160">
        <v>8</v>
      </c>
      <c r="E96" s="166" t="s">
        <v>401</v>
      </c>
    </row>
    <row r="97" spans="1:5" ht="123.75" customHeight="1">
      <c r="A97" s="165" t="s">
        <v>224</v>
      </c>
      <c r="B97" s="162" t="s">
        <v>242</v>
      </c>
      <c r="C97" s="161" t="s">
        <v>221</v>
      </c>
      <c r="D97" s="160">
        <v>11</v>
      </c>
      <c r="E97" s="166" t="s">
        <v>382</v>
      </c>
    </row>
    <row r="98" spans="1:5" ht="123.75" customHeight="1">
      <c r="A98" s="165" t="s">
        <v>222</v>
      </c>
      <c r="B98" s="162" t="s">
        <v>306</v>
      </c>
      <c r="C98" s="161" t="s">
        <v>221</v>
      </c>
      <c r="D98" s="160">
        <v>4</v>
      </c>
      <c r="E98" s="166" t="s">
        <v>392</v>
      </c>
    </row>
    <row r="99" spans="1:5" ht="123.75" customHeight="1">
      <c r="A99" s="165" t="s">
        <v>225</v>
      </c>
      <c r="B99" s="162" t="s">
        <v>282</v>
      </c>
      <c r="C99" s="161" t="s">
        <v>221</v>
      </c>
      <c r="D99" s="155">
        <v>9</v>
      </c>
      <c r="E99" s="166" t="s">
        <v>388</v>
      </c>
    </row>
    <row r="100" spans="1:5" ht="123.75" customHeight="1">
      <c r="A100" s="165" t="s">
        <v>223</v>
      </c>
      <c r="B100" s="162" t="s">
        <v>366</v>
      </c>
      <c r="C100" s="161" t="s">
        <v>221</v>
      </c>
      <c r="D100" s="155">
        <v>12</v>
      </c>
      <c r="E100" s="166" t="s">
        <v>403</v>
      </c>
    </row>
    <row r="101" spans="1:5" ht="123.75" customHeight="1">
      <c r="A101" s="165" t="s">
        <v>223</v>
      </c>
      <c r="B101" s="162" t="s">
        <v>336</v>
      </c>
      <c r="C101" s="161" t="s">
        <v>221</v>
      </c>
      <c r="D101" s="160">
        <v>6</v>
      </c>
      <c r="E101" s="166" t="s">
        <v>396</v>
      </c>
    </row>
    <row r="102" spans="1:5" ht="14.4">
      <c r="A102" s="165"/>
      <c r="B102" s="162"/>
      <c r="C102" s="161" t="s">
        <v>17</v>
      </c>
      <c r="D102" s="160">
        <f>SUM(D81:D101)</f>
        <v>265</v>
      </c>
      <c r="E102" s="166"/>
    </row>
    <row r="103" spans="1:5" ht="123.75" customHeight="1">
      <c r="A103" s="168" t="s">
        <v>222</v>
      </c>
      <c r="B103" s="151" t="s">
        <v>316</v>
      </c>
      <c r="C103" s="152" t="s">
        <v>221</v>
      </c>
      <c r="D103" s="153">
        <v>2</v>
      </c>
      <c r="E103" s="169" t="s">
        <v>393</v>
      </c>
    </row>
    <row r="104" spans="1:5" ht="132">
      <c r="A104" s="168" t="s">
        <v>222</v>
      </c>
      <c r="B104" s="151" t="s">
        <v>343</v>
      </c>
      <c r="C104" s="152" t="s">
        <v>221</v>
      </c>
      <c r="D104" s="153">
        <v>16</v>
      </c>
      <c r="E104" s="169" t="s">
        <v>398</v>
      </c>
    </row>
    <row r="105" spans="1:5" ht="123.75" customHeight="1">
      <c r="A105" s="168" t="s">
        <v>220</v>
      </c>
      <c r="B105" s="151" t="s">
        <v>272</v>
      </c>
      <c r="C105" s="152" t="s">
        <v>221</v>
      </c>
      <c r="D105" s="154">
        <v>4</v>
      </c>
      <c r="E105" s="170" t="s">
        <v>387</v>
      </c>
    </row>
    <row r="106" spans="1:5" ht="15.6">
      <c r="A106" s="168"/>
      <c r="B106" s="151"/>
      <c r="C106" s="152" t="s">
        <v>17</v>
      </c>
      <c r="D106" s="156">
        <f>SUM(D103:D105)</f>
        <v>22</v>
      </c>
      <c r="E106" s="170"/>
    </row>
    <row r="107" spans="1:5" ht="123.75" customHeight="1">
      <c r="A107" s="165" t="s">
        <v>223</v>
      </c>
      <c r="B107" s="162" t="s">
        <v>274</v>
      </c>
      <c r="C107" s="161" t="s">
        <v>221</v>
      </c>
      <c r="D107" s="155">
        <v>2</v>
      </c>
      <c r="E107" s="173" t="s">
        <v>387</v>
      </c>
    </row>
    <row r="108" spans="1:5" ht="123.75" customHeight="1">
      <c r="A108" s="165" t="s">
        <v>223</v>
      </c>
      <c r="B108" s="162" t="s">
        <v>307</v>
      </c>
      <c r="C108" s="161" t="s">
        <v>221</v>
      </c>
      <c r="D108" s="155">
        <v>4</v>
      </c>
      <c r="E108" s="166" t="s">
        <v>392</v>
      </c>
    </row>
    <row r="109" spans="1:5" ht="123.75" customHeight="1">
      <c r="A109" s="165" t="s">
        <v>223</v>
      </c>
      <c r="B109" s="162" t="s">
        <v>344</v>
      </c>
      <c r="C109" s="161" t="s">
        <v>221</v>
      </c>
      <c r="D109" s="160">
        <v>2</v>
      </c>
      <c r="E109" s="166" t="s">
        <v>398</v>
      </c>
    </row>
    <row r="110" spans="1:5" ht="14.4">
      <c r="A110" s="165"/>
      <c r="B110" s="162"/>
      <c r="C110" s="161" t="s">
        <v>17</v>
      </c>
      <c r="D110" s="160">
        <f>SUM(D107:D109)</f>
        <v>8</v>
      </c>
      <c r="E110" s="166"/>
    </row>
    <row r="111" spans="1:5" ht="123.75" customHeight="1">
      <c r="A111" s="168" t="s">
        <v>224</v>
      </c>
      <c r="B111" s="151" t="s">
        <v>372</v>
      </c>
      <c r="C111" s="152" t="s">
        <v>221</v>
      </c>
      <c r="D111" s="153">
        <v>2</v>
      </c>
      <c r="E111" s="169" t="s">
        <v>404</v>
      </c>
    </row>
    <row r="112" spans="1:5" ht="14.4">
      <c r="A112" s="168"/>
      <c r="B112" s="151"/>
      <c r="C112" s="152" t="s">
        <v>17</v>
      </c>
      <c r="D112" s="153">
        <f>SUM(D111)</f>
        <v>2</v>
      </c>
      <c r="E112" s="169"/>
    </row>
    <row r="113" spans="1:5" ht="123.75" customHeight="1">
      <c r="A113" s="165" t="s">
        <v>224</v>
      </c>
      <c r="B113" s="162" t="s">
        <v>362</v>
      </c>
      <c r="C113" s="161" t="s">
        <v>228</v>
      </c>
      <c r="D113" s="160">
        <v>4</v>
      </c>
      <c r="E113" s="173" t="s">
        <v>402</v>
      </c>
    </row>
    <row r="114" spans="1:5" ht="123.75" customHeight="1">
      <c r="A114" s="165" t="s">
        <v>226</v>
      </c>
      <c r="B114" s="162" t="s">
        <v>362</v>
      </c>
      <c r="C114" s="161" t="s">
        <v>228</v>
      </c>
      <c r="D114" s="160">
        <v>4</v>
      </c>
      <c r="E114" s="166" t="s">
        <v>403</v>
      </c>
    </row>
    <row r="115" spans="1:5" ht="123.75" customHeight="1">
      <c r="A115" s="165" t="s">
        <v>224</v>
      </c>
      <c r="B115" s="162" t="s">
        <v>289</v>
      </c>
      <c r="C115" s="161" t="s">
        <v>228</v>
      </c>
      <c r="D115" s="160">
        <v>6</v>
      </c>
      <c r="E115" s="166" t="s">
        <v>389</v>
      </c>
    </row>
    <row r="116" spans="1:5" ht="123.75" customHeight="1">
      <c r="A116" s="165" t="s">
        <v>224</v>
      </c>
      <c r="B116" s="162" t="s">
        <v>289</v>
      </c>
      <c r="C116" s="161" t="s">
        <v>228</v>
      </c>
      <c r="D116" s="155">
        <v>6</v>
      </c>
      <c r="E116" s="166" t="s">
        <v>397</v>
      </c>
    </row>
    <row r="117" spans="1:5" ht="123.75" customHeight="1">
      <c r="A117" s="165" t="s">
        <v>224</v>
      </c>
      <c r="B117" s="162" t="s">
        <v>289</v>
      </c>
      <c r="C117" s="161" t="s">
        <v>228</v>
      </c>
      <c r="D117" s="160">
        <v>6</v>
      </c>
      <c r="E117" s="173" t="s">
        <v>400</v>
      </c>
    </row>
    <row r="118" spans="1:5" ht="123.75" customHeight="1">
      <c r="A118" s="165" t="s">
        <v>223</v>
      </c>
      <c r="B118" s="162" t="s">
        <v>264</v>
      </c>
      <c r="C118" s="161" t="s">
        <v>228</v>
      </c>
      <c r="D118" s="155">
        <v>8</v>
      </c>
      <c r="E118" s="166" t="s">
        <v>385</v>
      </c>
    </row>
    <row r="119" spans="1:5" ht="123.75" customHeight="1">
      <c r="A119" s="165" t="s">
        <v>229</v>
      </c>
      <c r="B119" s="162" t="s">
        <v>376</v>
      </c>
      <c r="C119" s="161" t="s">
        <v>228</v>
      </c>
      <c r="D119" s="160">
        <v>14</v>
      </c>
      <c r="E119" s="166" t="s">
        <v>404</v>
      </c>
    </row>
    <row r="120" spans="1:5" ht="123.75" customHeight="1">
      <c r="A120" s="165" t="s">
        <v>225</v>
      </c>
      <c r="B120" s="162" t="s">
        <v>236</v>
      </c>
      <c r="C120" s="161" t="s">
        <v>228</v>
      </c>
      <c r="D120" s="155">
        <v>22</v>
      </c>
      <c r="E120" s="166" t="s">
        <v>381</v>
      </c>
    </row>
    <row r="121" spans="1:5" ht="123.75" customHeight="1">
      <c r="A121" s="165" t="s">
        <v>223</v>
      </c>
      <c r="B121" s="162" t="s">
        <v>352</v>
      </c>
      <c r="C121" s="161" t="s">
        <v>228</v>
      </c>
      <c r="D121" s="160">
        <v>8</v>
      </c>
      <c r="E121" s="173" t="s">
        <v>399</v>
      </c>
    </row>
    <row r="122" spans="1:5" ht="118.8">
      <c r="A122" s="165" t="s">
        <v>226</v>
      </c>
      <c r="B122" s="162" t="s">
        <v>320</v>
      </c>
      <c r="C122" s="161" t="s">
        <v>228</v>
      </c>
      <c r="D122" s="155">
        <v>15</v>
      </c>
      <c r="E122" s="166" t="s">
        <v>393</v>
      </c>
    </row>
    <row r="123" spans="1:5" ht="118.8">
      <c r="A123" s="165" t="s">
        <v>224</v>
      </c>
      <c r="B123" s="162" t="s">
        <v>331</v>
      </c>
      <c r="C123" s="161" t="s">
        <v>228</v>
      </c>
      <c r="D123" s="155">
        <v>16</v>
      </c>
      <c r="E123" s="166" t="s">
        <v>395</v>
      </c>
    </row>
    <row r="124" spans="1:5" ht="123.75" customHeight="1">
      <c r="A124" s="165" t="s">
        <v>225</v>
      </c>
      <c r="B124" s="162" t="s">
        <v>252</v>
      </c>
      <c r="C124" s="161" t="s">
        <v>228</v>
      </c>
      <c r="D124" s="155">
        <v>10</v>
      </c>
      <c r="E124" s="167" t="s">
        <v>383</v>
      </c>
    </row>
    <row r="125" spans="1:5" ht="123.75" customHeight="1">
      <c r="A125" s="165" t="s">
        <v>227</v>
      </c>
      <c r="B125" s="162" t="s">
        <v>311</v>
      </c>
      <c r="C125" s="161" t="s">
        <v>228</v>
      </c>
      <c r="D125" s="155">
        <v>7</v>
      </c>
      <c r="E125" s="166" t="s">
        <v>392</v>
      </c>
    </row>
    <row r="126" spans="1:5" ht="123.75" customHeight="1">
      <c r="A126" s="165" t="s">
        <v>226</v>
      </c>
      <c r="B126" s="162" t="s">
        <v>302</v>
      </c>
      <c r="C126" s="161" t="s">
        <v>228</v>
      </c>
      <c r="D126" s="155">
        <v>7</v>
      </c>
      <c r="E126" s="166" t="s">
        <v>391</v>
      </c>
    </row>
    <row r="127" spans="1:5" ht="123.75" customHeight="1">
      <c r="A127" s="165" t="s">
        <v>225</v>
      </c>
      <c r="B127" s="162" t="s">
        <v>346</v>
      </c>
      <c r="C127" s="161" t="s">
        <v>228</v>
      </c>
      <c r="D127" s="160">
        <v>7</v>
      </c>
      <c r="E127" s="166" t="s">
        <v>398</v>
      </c>
    </row>
    <row r="128" spans="1:5" ht="118.8">
      <c r="A128" s="165" t="s">
        <v>224</v>
      </c>
      <c r="B128" s="162" t="s">
        <v>325</v>
      </c>
      <c r="C128" s="161" t="s">
        <v>228</v>
      </c>
      <c r="D128" s="160">
        <v>12</v>
      </c>
      <c r="E128" s="166" t="s">
        <v>394</v>
      </c>
    </row>
    <row r="129" spans="1:5" ht="105.6">
      <c r="A129" s="165" t="s">
        <v>224</v>
      </c>
      <c r="B129" s="162" t="s">
        <v>259</v>
      </c>
      <c r="C129" s="161" t="s">
        <v>228</v>
      </c>
      <c r="D129" s="155">
        <v>8</v>
      </c>
      <c r="E129" s="166" t="s">
        <v>384</v>
      </c>
    </row>
    <row r="130" spans="1:5" ht="132">
      <c r="A130" s="165" t="s">
        <v>226</v>
      </c>
      <c r="B130" s="162" t="s">
        <v>283</v>
      </c>
      <c r="C130" s="161" t="s">
        <v>228</v>
      </c>
      <c r="D130" s="155">
        <v>18</v>
      </c>
      <c r="E130" s="166" t="s">
        <v>388</v>
      </c>
    </row>
    <row r="131" spans="1:5" ht="123.75" customHeight="1">
      <c r="A131" s="165" t="s">
        <v>227</v>
      </c>
      <c r="B131" s="162" t="s">
        <v>245</v>
      </c>
      <c r="C131" s="161" t="s">
        <v>228</v>
      </c>
      <c r="D131" s="160">
        <v>9</v>
      </c>
      <c r="E131" s="166" t="s">
        <v>382</v>
      </c>
    </row>
    <row r="132" spans="1:5" ht="123.75" customHeight="1">
      <c r="A132" s="165" t="s">
        <v>224</v>
      </c>
      <c r="B132" s="162" t="s">
        <v>270</v>
      </c>
      <c r="C132" s="161" t="s">
        <v>228</v>
      </c>
      <c r="D132" s="160">
        <v>3</v>
      </c>
      <c r="E132" s="173" t="s">
        <v>386</v>
      </c>
    </row>
    <row r="133" spans="1:5" ht="123.75" customHeight="1">
      <c r="A133" s="165" t="s">
        <v>226</v>
      </c>
      <c r="B133" s="162" t="s">
        <v>296</v>
      </c>
      <c r="C133" s="161" t="s">
        <v>228</v>
      </c>
      <c r="D133" s="160">
        <v>7</v>
      </c>
      <c r="E133" s="166" t="s">
        <v>390</v>
      </c>
    </row>
    <row r="134" spans="1:5" ht="123.75" customHeight="1">
      <c r="A134" s="165" t="s">
        <v>226</v>
      </c>
      <c r="B134" s="162" t="s">
        <v>358</v>
      </c>
      <c r="C134" s="161" t="s">
        <v>228</v>
      </c>
      <c r="D134" s="155">
        <v>5</v>
      </c>
      <c r="E134" s="166" t="s">
        <v>401</v>
      </c>
    </row>
    <row r="135" spans="1:5" ht="123.75" customHeight="1">
      <c r="A135" s="165" t="s">
        <v>226</v>
      </c>
      <c r="B135" s="162" t="s">
        <v>339</v>
      </c>
      <c r="C135" s="161" t="s">
        <v>228</v>
      </c>
      <c r="D135" s="160">
        <v>6</v>
      </c>
      <c r="E135" s="166" t="s">
        <v>396</v>
      </c>
    </row>
    <row r="136" spans="1:5" ht="123.75" customHeight="1">
      <c r="A136" s="165" t="s">
        <v>230</v>
      </c>
      <c r="B136" s="162" t="s">
        <v>279</v>
      </c>
      <c r="C136" s="161" t="s">
        <v>228</v>
      </c>
      <c r="D136" s="160">
        <v>2</v>
      </c>
      <c r="E136" s="173" t="s">
        <v>387</v>
      </c>
    </row>
    <row r="137" spans="1:5" ht="14.4">
      <c r="A137" s="165"/>
      <c r="B137" s="162"/>
      <c r="C137" s="161" t="s">
        <v>17</v>
      </c>
      <c r="D137" s="160">
        <f>SUM(D113:D136)</f>
        <v>210</v>
      </c>
      <c r="E137" s="173"/>
    </row>
    <row r="138" spans="1:5" ht="123.75" customHeight="1">
      <c r="A138" s="168" t="s">
        <v>226</v>
      </c>
      <c r="B138" s="151" t="s">
        <v>347</v>
      </c>
      <c r="C138" s="152" t="s">
        <v>228</v>
      </c>
      <c r="D138" s="153">
        <v>7</v>
      </c>
      <c r="E138" s="169" t="s">
        <v>398</v>
      </c>
    </row>
    <row r="139" spans="1:5" ht="123.75" customHeight="1">
      <c r="A139" s="168" t="s">
        <v>226</v>
      </c>
      <c r="B139" s="151" t="s">
        <v>277</v>
      </c>
      <c r="C139" s="152" t="s">
        <v>228</v>
      </c>
      <c r="D139" s="153">
        <v>4</v>
      </c>
      <c r="E139" s="170" t="s">
        <v>387</v>
      </c>
    </row>
    <row r="140" spans="1:5" ht="123.75" customHeight="1">
      <c r="A140" s="168" t="s">
        <v>229</v>
      </c>
      <c r="B140" s="151" t="s">
        <v>312</v>
      </c>
      <c r="C140" s="152" t="s">
        <v>228</v>
      </c>
      <c r="D140" s="154">
        <v>2</v>
      </c>
      <c r="E140" s="169" t="s">
        <v>392</v>
      </c>
    </row>
    <row r="141" spans="1:5" ht="123.75" customHeight="1">
      <c r="A141" s="168" t="s">
        <v>227</v>
      </c>
      <c r="B141" s="151" t="s">
        <v>254</v>
      </c>
      <c r="C141" s="152" t="s">
        <v>228</v>
      </c>
      <c r="D141" s="153">
        <v>1</v>
      </c>
      <c r="E141" s="174" t="s">
        <v>383</v>
      </c>
    </row>
    <row r="142" spans="1:5" ht="14.4">
      <c r="A142" s="168"/>
      <c r="B142" s="151"/>
      <c r="C142" s="152" t="s">
        <v>17</v>
      </c>
      <c r="D142" s="153">
        <f>SUM(D138:D141)</f>
        <v>14</v>
      </c>
      <c r="E142" s="174"/>
    </row>
    <row r="143" spans="1:5" ht="123.75" customHeight="1">
      <c r="A143" s="165" t="s">
        <v>224</v>
      </c>
      <c r="B143" s="162" t="s">
        <v>337</v>
      </c>
      <c r="C143" s="161" t="s">
        <v>221</v>
      </c>
      <c r="D143" s="160">
        <v>2</v>
      </c>
      <c r="E143" s="166" t="s">
        <v>396</v>
      </c>
    </row>
    <row r="144" spans="1:5" ht="123.75" customHeight="1">
      <c r="A144" s="165" t="s">
        <v>229</v>
      </c>
      <c r="B144" s="162" t="s">
        <v>246</v>
      </c>
      <c r="C144" s="161" t="s">
        <v>228</v>
      </c>
      <c r="D144" s="155">
        <v>1</v>
      </c>
      <c r="E144" s="166" t="s">
        <v>382</v>
      </c>
    </row>
    <row r="145" spans="1:5" ht="123.75" customHeight="1">
      <c r="A145" s="165" t="s">
        <v>225</v>
      </c>
      <c r="B145" s="162" t="s">
        <v>246</v>
      </c>
      <c r="C145" s="161" t="s">
        <v>228</v>
      </c>
      <c r="D145" s="160">
        <v>1</v>
      </c>
      <c r="E145" s="166" t="s">
        <v>401</v>
      </c>
    </row>
    <row r="146" spans="1:5" ht="123.75" customHeight="1">
      <c r="A146" s="165" t="s">
        <v>225</v>
      </c>
      <c r="B146" s="162" t="s">
        <v>260</v>
      </c>
      <c r="C146" s="161" t="s">
        <v>228</v>
      </c>
      <c r="D146" s="155">
        <v>2</v>
      </c>
      <c r="E146" s="166" t="s">
        <v>384</v>
      </c>
    </row>
    <row r="147" spans="1:5" ht="123.75" customHeight="1">
      <c r="A147" s="165" t="s">
        <v>226</v>
      </c>
      <c r="B147" s="162" t="s">
        <v>260</v>
      </c>
      <c r="C147" s="161" t="s">
        <v>228</v>
      </c>
      <c r="D147" s="160">
        <v>2</v>
      </c>
      <c r="E147" s="166" t="s">
        <v>397</v>
      </c>
    </row>
    <row r="148" spans="1:5" ht="123.75" customHeight="1">
      <c r="A148" s="165" t="s">
        <v>229</v>
      </c>
      <c r="B148" s="162" t="s">
        <v>285</v>
      </c>
      <c r="C148" s="161" t="s">
        <v>228</v>
      </c>
      <c r="D148" s="160">
        <v>1</v>
      </c>
      <c r="E148" s="166" t="s">
        <v>388</v>
      </c>
    </row>
    <row r="149" spans="1:5" ht="123.75" customHeight="1">
      <c r="A149" s="165" t="s">
        <v>225</v>
      </c>
      <c r="B149" s="162" t="s">
        <v>271</v>
      </c>
      <c r="C149" s="161" t="s">
        <v>228</v>
      </c>
      <c r="D149" s="155">
        <v>2</v>
      </c>
      <c r="E149" s="173" t="s">
        <v>386</v>
      </c>
    </row>
    <row r="150" spans="1:5" ht="123.75" customHeight="1">
      <c r="A150" s="165" t="s">
        <v>225</v>
      </c>
      <c r="B150" s="162" t="s">
        <v>271</v>
      </c>
      <c r="C150" s="161" t="s">
        <v>228</v>
      </c>
      <c r="D150" s="160">
        <v>2</v>
      </c>
      <c r="E150" s="173" t="s">
        <v>402</v>
      </c>
    </row>
    <row r="151" spans="1:5" ht="123.75" customHeight="1">
      <c r="A151" s="165" t="s">
        <v>227</v>
      </c>
      <c r="B151" s="162" t="s">
        <v>271</v>
      </c>
      <c r="C151" s="161" t="s">
        <v>228</v>
      </c>
      <c r="D151" s="160">
        <v>2</v>
      </c>
      <c r="E151" s="166" t="s">
        <v>403</v>
      </c>
    </row>
    <row r="152" spans="1:5" ht="123.75" customHeight="1">
      <c r="A152" s="165" t="s">
        <v>225</v>
      </c>
      <c r="B152" s="162" t="s">
        <v>332</v>
      </c>
      <c r="C152" s="161" t="s">
        <v>228</v>
      </c>
      <c r="D152" s="155">
        <v>5</v>
      </c>
      <c r="E152" s="166" t="s">
        <v>395</v>
      </c>
    </row>
    <row r="153" spans="1:5" ht="123.75" customHeight="1">
      <c r="A153" s="165" t="s">
        <v>229</v>
      </c>
      <c r="B153" s="162" t="s">
        <v>278</v>
      </c>
      <c r="C153" s="161" t="s">
        <v>228</v>
      </c>
      <c r="D153" s="160">
        <v>1</v>
      </c>
      <c r="E153" s="173" t="s">
        <v>387</v>
      </c>
    </row>
    <row r="154" spans="1:5" ht="123.75" customHeight="1">
      <c r="A154" s="165" t="s">
        <v>227</v>
      </c>
      <c r="B154" s="162" t="s">
        <v>321</v>
      </c>
      <c r="C154" s="161" t="s">
        <v>228</v>
      </c>
      <c r="D154" s="160">
        <v>3</v>
      </c>
      <c r="E154" s="166" t="s">
        <v>393</v>
      </c>
    </row>
    <row r="155" spans="1:5" ht="123.75" customHeight="1">
      <c r="A155" s="165" t="s">
        <v>227</v>
      </c>
      <c r="B155" s="162" t="s">
        <v>303</v>
      </c>
      <c r="C155" s="161" t="s">
        <v>228</v>
      </c>
      <c r="D155" s="155">
        <v>2</v>
      </c>
      <c r="E155" s="166" t="s">
        <v>391</v>
      </c>
    </row>
    <row r="156" spans="1:5" ht="123.75" customHeight="1">
      <c r="A156" s="165" t="s">
        <v>224</v>
      </c>
      <c r="B156" s="162" t="s">
        <v>353</v>
      </c>
      <c r="C156" s="161" t="s">
        <v>228</v>
      </c>
      <c r="D156" s="160">
        <v>2</v>
      </c>
      <c r="E156" s="173" t="s">
        <v>399</v>
      </c>
    </row>
    <row r="157" spans="1:5" ht="123.75" customHeight="1">
      <c r="A157" s="165" t="s">
        <v>225</v>
      </c>
      <c r="B157" s="162" t="s">
        <v>290</v>
      </c>
      <c r="C157" s="161" t="s">
        <v>228</v>
      </c>
      <c r="D157" s="160">
        <v>3</v>
      </c>
      <c r="E157" s="166" t="s">
        <v>389</v>
      </c>
    </row>
    <row r="158" spans="1:5" ht="123.75" customHeight="1">
      <c r="A158" s="165" t="s">
        <v>225</v>
      </c>
      <c r="B158" s="162" t="s">
        <v>290</v>
      </c>
      <c r="C158" s="161" t="s">
        <v>228</v>
      </c>
      <c r="D158" s="160">
        <v>3</v>
      </c>
      <c r="E158" s="173" t="s">
        <v>400</v>
      </c>
    </row>
    <row r="159" spans="1:5" ht="123.75" customHeight="1">
      <c r="A159" s="165" t="s">
        <v>230</v>
      </c>
      <c r="B159" s="162" t="s">
        <v>313</v>
      </c>
      <c r="C159" s="161" t="s">
        <v>228</v>
      </c>
      <c r="D159" s="155">
        <v>2</v>
      </c>
      <c r="E159" s="166" t="s">
        <v>392</v>
      </c>
    </row>
    <row r="160" spans="1:5" ht="123.75" customHeight="1">
      <c r="A160" s="165" t="s">
        <v>225</v>
      </c>
      <c r="B160" s="162" t="s">
        <v>266</v>
      </c>
      <c r="C160" s="161" t="s">
        <v>228</v>
      </c>
      <c r="D160" s="155">
        <v>1</v>
      </c>
      <c r="E160" s="166" t="s">
        <v>385</v>
      </c>
    </row>
    <row r="161" spans="1:5" ht="123.75" customHeight="1">
      <c r="A161" s="165" t="s">
        <v>227</v>
      </c>
      <c r="B161" s="162" t="s">
        <v>238</v>
      </c>
      <c r="C161" s="161" t="s">
        <v>228</v>
      </c>
      <c r="D161" s="155">
        <v>4</v>
      </c>
      <c r="E161" s="166" t="s">
        <v>381</v>
      </c>
    </row>
    <row r="162" spans="1:5" ht="123.75" customHeight="1">
      <c r="A162" s="165" t="s">
        <v>226</v>
      </c>
      <c r="B162" s="162" t="s">
        <v>327</v>
      </c>
      <c r="C162" s="161" t="s">
        <v>228</v>
      </c>
      <c r="D162" s="160">
        <v>2</v>
      </c>
      <c r="E162" s="166" t="s">
        <v>394</v>
      </c>
    </row>
    <row r="163" spans="1:5" ht="123.75" customHeight="1">
      <c r="A163" s="165" t="s">
        <v>229</v>
      </c>
      <c r="B163" s="162" t="s">
        <v>255</v>
      </c>
      <c r="C163" s="161" t="s">
        <v>228</v>
      </c>
      <c r="D163" s="160">
        <v>1</v>
      </c>
      <c r="E163" s="167" t="s">
        <v>383</v>
      </c>
    </row>
    <row r="164" spans="1:5" ht="123.75" customHeight="1">
      <c r="A164" s="165" t="s">
        <v>227</v>
      </c>
      <c r="B164" s="162" t="s">
        <v>348</v>
      </c>
      <c r="C164" s="161" t="s">
        <v>221</v>
      </c>
      <c r="D164" s="160">
        <v>2</v>
      </c>
      <c r="E164" s="166" t="s">
        <v>398</v>
      </c>
    </row>
    <row r="165" spans="1:5" ht="14.4">
      <c r="A165" s="165"/>
      <c r="B165" s="162"/>
      <c r="C165" s="161" t="s">
        <v>17</v>
      </c>
      <c r="D165" s="160">
        <f>SUM(D143:D164)</f>
        <v>46</v>
      </c>
      <c r="E165" s="166"/>
    </row>
    <row r="166" spans="1:5" ht="123.75" customHeight="1">
      <c r="A166" s="168" t="s">
        <v>231</v>
      </c>
      <c r="B166" s="151" t="s">
        <v>378</v>
      </c>
      <c r="C166" s="152" t="s">
        <v>228</v>
      </c>
      <c r="D166" s="153">
        <v>1</v>
      </c>
      <c r="E166" s="169" t="s">
        <v>404</v>
      </c>
    </row>
    <row r="167" spans="1:5" ht="14.4">
      <c r="A167" s="168"/>
      <c r="B167" s="151"/>
      <c r="C167" s="152" t="s">
        <v>17</v>
      </c>
      <c r="D167" s="153">
        <f>SUM(D166)</f>
        <v>1</v>
      </c>
      <c r="E167" s="169"/>
    </row>
    <row r="168" spans="1:5" ht="123.75" customHeight="1">
      <c r="A168" s="165" t="s">
        <v>223</v>
      </c>
      <c r="B168" s="162" t="s">
        <v>269</v>
      </c>
      <c r="C168" s="161" t="s">
        <v>228</v>
      </c>
      <c r="D168" s="160">
        <v>1</v>
      </c>
      <c r="E168" s="173" t="s">
        <v>386</v>
      </c>
    </row>
    <row r="169" spans="1:5" ht="123.75" customHeight="1">
      <c r="A169" s="165" t="s">
        <v>224</v>
      </c>
      <c r="B169" s="162" t="s">
        <v>357</v>
      </c>
      <c r="C169" s="161" t="s">
        <v>228</v>
      </c>
      <c r="D169" s="160">
        <v>2</v>
      </c>
      <c r="E169" s="166" t="s">
        <v>401</v>
      </c>
    </row>
    <row r="170" spans="1:5" ht="123.75" customHeight="1">
      <c r="A170" s="165" t="s">
        <v>225</v>
      </c>
      <c r="B170" s="162" t="s">
        <v>295</v>
      </c>
      <c r="C170" s="161" t="s">
        <v>228</v>
      </c>
      <c r="D170" s="160">
        <v>2</v>
      </c>
      <c r="E170" s="166" t="s">
        <v>390</v>
      </c>
    </row>
    <row r="171" spans="1:5" ht="123.75" customHeight="1">
      <c r="A171" s="165" t="s">
        <v>225</v>
      </c>
      <c r="B171" s="162" t="s">
        <v>338</v>
      </c>
      <c r="C171" s="161" t="s">
        <v>228</v>
      </c>
      <c r="D171" s="160">
        <v>1</v>
      </c>
      <c r="E171" s="166" t="s">
        <v>396</v>
      </c>
    </row>
    <row r="172" spans="1:5" ht="123.75" customHeight="1">
      <c r="A172" s="165" t="s">
        <v>230</v>
      </c>
      <c r="B172" s="162" t="s">
        <v>247</v>
      </c>
      <c r="C172" s="161" t="s">
        <v>228</v>
      </c>
      <c r="D172" s="155">
        <v>1</v>
      </c>
      <c r="E172" s="166" t="s">
        <v>382</v>
      </c>
    </row>
    <row r="173" spans="1:5" ht="123.75" customHeight="1">
      <c r="A173" s="165" t="s">
        <v>227</v>
      </c>
      <c r="B173" s="162" t="s">
        <v>284</v>
      </c>
      <c r="C173" s="161" t="s">
        <v>228</v>
      </c>
      <c r="D173" s="160">
        <v>2</v>
      </c>
      <c r="E173" s="166" t="s">
        <v>388</v>
      </c>
    </row>
    <row r="174" spans="1:5" ht="123.75" customHeight="1">
      <c r="A174" s="165" t="s">
        <v>225</v>
      </c>
      <c r="B174" s="162" t="s">
        <v>326</v>
      </c>
      <c r="C174" s="161" t="s">
        <v>228</v>
      </c>
      <c r="D174" s="160">
        <v>3</v>
      </c>
      <c r="E174" s="166" t="s">
        <v>394</v>
      </c>
    </row>
    <row r="175" spans="1:5" ht="123.75" customHeight="1">
      <c r="A175" s="165" t="s">
        <v>226</v>
      </c>
      <c r="B175" s="162" t="s">
        <v>261</v>
      </c>
      <c r="C175" s="161" t="s">
        <v>228</v>
      </c>
      <c r="D175" s="160">
        <v>1</v>
      </c>
      <c r="E175" s="166" t="s">
        <v>384</v>
      </c>
    </row>
    <row r="176" spans="1:5" ht="123.75" customHeight="1">
      <c r="A176" s="165" t="s">
        <v>225</v>
      </c>
      <c r="B176" s="162" t="s">
        <v>261</v>
      </c>
      <c r="C176" s="161" t="s">
        <v>228</v>
      </c>
      <c r="D176" s="160">
        <v>1</v>
      </c>
      <c r="E176" s="166" t="s">
        <v>397</v>
      </c>
    </row>
    <row r="177" spans="1:5" ht="123.75" customHeight="1">
      <c r="A177" s="165" t="s">
        <v>226</v>
      </c>
      <c r="B177" s="162" t="s">
        <v>253</v>
      </c>
      <c r="C177" s="161" t="s">
        <v>228</v>
      </c>
      <c r="D177" s="160">
        <v>1</v>
      </c>
      <c r="E177" s="167" t="s">
        <v>383</v>
      </c>
    </row>
    <row r="178" spans="1:5" ht="123.75" customHeight="1">
      <c r="A178" s="165" t="s">
        <v>227</v>
      </c>
      <c r="B178" s="162" t="s">
        <v>253</v>
      </c>
      <c r="C178" s="161" t="s">
        <v>228</v>
      </c>
      <c r="D178" s="160">
        <v>1</v>
      </c>
      <c r="E178" s="173" t="s">
        <v>387</v>
      </c>
    </row>
    <row r="179" spans="1:5" ht="123.75" customHeight="1">
      <c r="A179" s="165" t="s">
        <v>226</v>
      </c>
      <c r="B179" s="162" t="s">
        <v>363</v>
      </c>
      <c r="C179" s="161" t="s">
        <v>228</v>
      </c>
      <c r="D179" s="160">
        <v>1</v>
      </c>
      <c r="E179" s="173" t="s">
        <v>402</v>
      </c>
    </row>
    <row r="180" spans="1:5" ht="123.75" customHeight="1">
      <c r="A180" s="165" t="s">
        <v>229</v>
      </c>
      <c r="B180" s="162" t="s">
        <v>363</v>
      </c>
      <c r="C180" s="161" t="s">
        <v>228</v>
      </c>
      <c r="D180" s="160">
        <v>1</v>
      </c>
      <c r="E180" s="166" t="s">
        <v>403</v>
      </c>
    </row>
    <row r="181" spans="1:5" ht="123.75" customHeight="1">
      <c r="A181" s="165" t="s">
        <v>224</v>
      </c>
      <c r="B181" s="162" t="s">
        <v>265</v>
      </c>
      <c r="C181" s="161" t="s">
        <v>228</v>
      </c>
      <c r="D181" s="160">
        <v>1</v>
      </c>
      <c r="E181" s="166" t="s">
        <v>385</v>
      </c>
    </row>
    <row r="182" spans="1:5" ht="123.75" customHeight="1">
      <c r="A182" s="165" t="s">
        <v>229</v>
      </c>
      <c r="B182" s="162" t="s">
        <v>304</v>
      </c>
      <c r="C182" s="161" t="s">
        <v>228</v>
      </c>
      <c r="D182" s="160">
        <v>2</v>
      </c>
      <c r="E182" s="166" t="s">
        <v>391</v>
      </c>
    </row>
    <row r="183" spans="1:5" ht="123.75" customHeight="1">
      <c r="A183" s="165" t="s">
        <v>231</v>
      </c>
      <c r="B183" s="162" t="s">
        <v>314</v>
      </c>
      <c r="C183" s="161" t="s">
        <v>228</v>
      </c>
      <c r="D183" s="160">
        <v>2</v>
      </c>
      <c r="E183" s="166" t="s">
        <v>392</v>
      </c>
    </row>
    <row r="184" spans="1:5" ht="123.75" customHeight="1">
      <c r="A184" s="165" t="s">
        <v>229</v>
      </c>
      <c r="B184" s="162" t="s">
        <v>314</v>
      </c>
      <c r="C184" s="161" t="s">
        <v>228</v>
      </c>
      <c r="D184" s="160">
        <v>2</v>
      </c>
      <c r="E184" s="166" t="s">
        <v>393</v>
      </c>
    </row>
    <row r="185" spans="1:5" ht="123.75" customHeight="1">
      <c r="A185" s="165" t="s">
        <v>229</v>
      </c>
      <c r="B185" s="162" t="s">
        <v>349</v>
      </c>
      <c r="C185" s="161" t="s">
        <v>228</v>
      </c>
      <c r="D185" s="160">
        <v>1</v>
      </c>
      <c r="E185" s="166" t="s">
        <v>398</v>
      </c>
    </row>
    <row r="186" spans="1:5" ht="123.75" customHeight="1">
      <c r="A186" s="165" t="s">
        <v>226</v>
      </c>
      <c r="B186" s="162" t="s">
        <v>237</v>
      </c>
      <c r="C186" s="161" t="s">
        <v>228</v>
      </c>
      <c r="D186" s="155">
        <v>2</v>
      </c>
      <c r="E186" s="166" t="s">
        <v>381</v>
      </c>
    </row>
    <row r="187" spans="1:5" ht="123.75" customHeight="1">
      <c r="A187" s="165" t="s">
        <v>226</v>
      </c>
      <c r="B187" s="162" t="s">
        <v>333</v>
      </c>
      <c r="C187" s="161" t="s">
        <v>228</v>
      </c>
      <c r="D187" s="160">
        <v>1</v>
      </c>
      <c r="E187" s="166" t="s">
        <v>395</v>
      </c>
    </row>
    <row r="188" spans="1:5" ht="14.4">
      <c r="A188" s="165"/>
      <c r="B188" s="162"/>
      <c r="C188" s="161" t="s">
        <v>17</v>
      </c>
      <c r="D188" s="160">
        <f>SUM(D168:D187)</f>
        <v>29</v>
      </c>
      <c r="E188" s="166"/>
    </row>
    <row r="189" spans="1:5" ht="123.75" customHeight="1">
      <c r="A189" s="168" t="s">
        <v>227</v>
      </c>
      <c r="B189" s="151" t="s">
        <v>340</v>
      </c>
      <c r="C189" s="152" t="s">
        <v>228</v>
      </c>
      <c r="D189" s="153">
        <v>1</v>
      </c>
      <c r="E189" s="169" t="s">
        <v>396</v>
      </c>
    </row>
    <row r="190" spans="1:5" ht="14.4">
      <c r="A190" s="168"/>
      <c r="B190" s="151"/>
      <c r="C190" s="152" t="s">
        <v>17</v>
      </c>
      <c r="D190" s="153">
        <f>SUM(D189)</f>
        <v>1</v>
      </c>
      <c r="E190" s="169"/>
    </row>
    <row r="191" spans="1:5" ht="123.75" customHeight="1">
      <c r="A191" s="165" t="s">
        <v>230</v>
      </c>
      <c r="B191" s="162" t="s">
        <v>377</v>
      </c>
      <c r="C191" s="161" t="s">
        <v>228</v>
      </c>
      <c r="D191" s="160">
        <v>1</v>
      </c>
      <c r="E191" s="166" t="s">
        <v>404</v>
      </c>
    </row>
    <row r="192" spans="1:5" ht="14.4">
      <c r="A192" s="175"/>
      <c r="B192" s="163"/>
      <c r="C192" s="163" t="s">
        <v>17</v>
      </c>
      <c r="D192" s="164">
        <f>SUM(D191)</f>
        <v>1</v>
      </c>
      <c r="E192" s="176"/>
    </row>
    <row r="193" spans="1:5" ht="123.75" customHeight="1">
      <c r="A193" s="168" t="s">
        <v>222</v>
      </c>
      <c r="B193" s="151" t="s">
        <v>329</v>
      </c>
      <c r="C193" s="152" t="s">
        <v>221</v>
      </c>
      <c r="D193" s="153">
        <v>2</v>
      </c>
      <c r="E193" s="169" t="s">
        <v>395</v>
      </c>
    </row>
    <row r="194" spans="1:5" ht="15" thickBot="1">
      <c r="A194" s="177"/>
      <c r="B194" s="178"/>
      <c r="C194" s="179" t="s">
        <v>17</v>
      </c>
      <c r="D194" s="180">
        <f>SUM(D54)</f>
        <v>2</v>
      </c>
      <c r="E194" s="181"/>
    </row>
  </sheetData>
  <sortState ref="A2:D180">
    <sortCondition ref="A1"/>
  </sortState>
  <mergeCells count="1">
    <mergeCell ref="A1:E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view="pageBreakPreview" topLeftCell="A7" zoomScaleNormal="100" zoomScaleSheetLayoutView="100" workbookViewId="0">
      <selection activeCell="C17" sqref="C17"/>
    </sheetView>
  </sheetViews>
  <sheetFormatPr defaultRowHeight="14.4"/>
  <cols>
    <col min="1" max="1" width="9.109375" style="13"/>
    <col min="2" max="2" width="74.33203125" customWidth="1"/>
    <col min="3" max="3" width="23.44140625" customWidth="1"/>
    <col min="4" max="4" width="14.109375" customWidth="1"/>
  </cols>
  <sheetData>
    <row r="1" spans="1:5" s="147" customFormat="1" ht="25.2">
      <c r="A1" s="538" t="s">
        <v>407</v>
      </c>
      <c r="B1" s="539"/>
      <c r="C1" s="539"/>
      <c r="D1" s="540"/>
    </row>
    <row r="2" spans="1:5" s="147" customFormat="1" ht="18.600000000000001">
      <c r="A2" s="541" t="s">
        <v>408</v>
      </c>
      <c r="B2" s="542"/>
      <c r="C2" s="542"/>
      <c r="D2" s="543"/>
    </row>
    <row r="3" spans="1:5" s="147" customFormat="1" ht="18.600000000000001">
      <c r="A3" s="186"/>
      <c r="B3" s="509"/>
      <c r="C3" s="509"/>
      <c r="D3" s="510"/>
    </row>
    <row r="4" spans="1:5" s="147" customFormat="1" ht="10.5" customHeight="1">
      <c r="A4" s="508"/>
      <c r="B4" s="509"/>
      <c r="C4" s="509"/>
      <c r="D4" s="510"/>
    </row>
    <row r="5" spans="1:5" s="147" customFormat="1" ht="18" customHeight="1">
      <c r="A5" s="187" t="s">
        <v>0</v>
      </c>
      <c r="B5" s="544" t="s">
        <v>409</v>
      </c>
      <c r="C5" s="544"/>
      <c r="D5" s="545"/>
    </row>
    <row r="6" spans="1:5" s="147" customFormat="1" ht="18" customHeight="1" thickBot="1">
      <c r="A6" s="188" t="s">
        <v>1</v>
      </c>
      <c r="B6" s="546" t="s">
        <v>410</v>
      </c>
      <c r="C6" s="546"/>
      <c r="D6" s="547"/>
    </row>
    <row r="7" spans="1:5" ht="19.2" thickBot="1">
      <c r="A7" s="548" t="s">
        <v>2</v>
      </c>
      <c r="B7" s="549"/>
      <c r="C7" s="549"/>
      <c r="D7" s="550"/>
    </row>
    <row r="8" spans="1:5" s="14" customFormat="1" ht="15" thickBot="1">
      <c r="A8" s="56" t="s">
        <v>3</v>
      </c>
      <c r="B8" s="249" t="s">
        <v>4</v>
      </c>
      <c r="C8" s="56" t="s">
        <v>5</v>
      </c>
      <c r="D8" s="56" t="s">
        <v>6</v>
      </c>
    </row>
    <row r="9" spans="1:5" s="7" customFormat="1">
      <c r="A9" s="240" t="str">
        <f>ORÇAMENTO!B8</f>
        <v>1.0</v>
      </c>
      <c r="B9" s="243" t="str">
        <f>ORÇAMENTO!E8</f>
        <v>E.M.E.B. IRACEMA MIELE</v>
      </c>
      <c r="C9" s="386">
        <f>ORÇAMENTO!J80</f>
        <v>274660.20158111973</v>
      </c>
      <c r="D9" s="242">
        <f>C9/C33</f>
        <v>6.1221160861556483E-2</v>
      </c>
      <c r="E9" s="513"/>
    </row>
    <row r="10" spans="1:5" s="7" customFormat="1">
      <c r="A10" s="246" t="str">
        <f>ORÇAMENTO!B81</f>
        <v>2.0</v>
      </c>
      <c r="B10" s="247" t="str">
        <f>ORÇAMENTO!E81</f>
        <v>E.M.E.B.PROF. MARIA APARECIDA</v>
      </c>
      <c r="C10" s="385">
        <f>ORÇAMENTO!J150</f>
        <v>274216.63096741971</v>
      </c>
      <c r="D10" s="248">
        <f t="shared" ref="D10:D31" si="0">C10/C$33</f>
        <v>6.1122289937634987E-2</v>
      </c>
    </row>
    <row r="11" spans="1:5" s="7" customFormat="1">
      <c r="A11" s="240" t="str">
        <f>ORÇAMENTO!B151</f>
        <v>3.0</v>
      </c>
      <c r="B11" s="243" t="str">
        <f>ORÇAMENTO!E151</f>
        <v>E.M.E.B. PROFESSORA SYLVIA FERREIRA JORGE SCHAFFER</v>
      </c>
      <c r="C11" s="386">
        <f>ORÇAMENTO!J231</f>
        <v>451359.56149061932</v>
      </c>
      <c r="D11" s="248">
        <f t="shared" si="0"/>
        <v>0.10060706342363031</v>
      </c>
    </row>
    <row r="12" spans="1:5" s="7" customFormat="1">
      <c r="A12" s="240" t="str">
        <f>ORÇAMENTO!B232</f>
        <v>4.0</v>
      </c>
      <c r="B12" s="243" t="str">
        <f>ORÇAMENTO!E232</f>
        <v>C.E.I IZAURA ROQUE</v>
      </c>
      <c r="C12" s="386">
        <f>ORÇAMENTO!J294</f>
        <v>175620.31854962901</v>
      </c>
      <c r="D12" s="248">
        <f t="shared" si="0"/>
        <v>3.9145386592564509E-2</v>
      </c>
    </row>
    <row r="13" spans="1:5" s="7" customFormat="1">
      <c r="A13" s="240" t="str">
        <f>ORÇAMENTO!B295</f>
        <v>5.0</v>
      </c>
      <c r="B13" s="243" t="str">
        <f>ORÇAMENTO!E295</f>
        <v>C.E.I.FERNANDA DA SILVA FONSECA</v>
      </c>
      <c r="C13" s="386">
        <f>ORÇAMENTO!J364</f>
        <v>178056.92271059318</v>
      </c>
      <c r="D13" s="248">
        <f t="shared" si="0"/>
        <v>3.9688500354353062E-2</v>
      </c>
    </row>
    <row r="14" spans="1:5" s="7" customFormat="1">
      <c r="A14" s="240" t="str">
        <f>ORÇAMENTO!B365</f>
        <v>6.0</v>
      </c>
      <c r="B14" s="243" t="str">
        <f>ORÇAMENTO!E365</f>
        <v>C.E.I. FRANCISCO SALLES DE ABREU SAMPAIO</v>
      </c>
      <c r="C14" s="386">
        <f>ORÇAMENTO!J425</f>
        <v>206996.4608255222</v>
      </c>
      <c r="D14" s="248">
        <f t="shared" si="0"/>
        <v>4.6139060384507075E-2</v>
      </c>
    </row>
    <row r="15" spans="1:5" s="7" customFormat="1">
      <c r="A15" s="240" t="str">
        <f>ORÇAMENTO!B426</f>
        <v>7.0</v>
      </c>
      <c r="B15" s="243" t="str">
        <f>ORÇAMENTO!E426</f>
        <v>C.A.E.C. 1 - CENTRO DE ATIVIDADE EDUC COMPLEMENTAR 1</v>
      </c>
      <c r="C15" s="386">
        <f>ORÇAMENTO!J476</f>
        <v>123141.42094166984</v>
      </c>
      <c r="D15" s="248">
        <f t="shared" si="0"/>
        <v>2.7447954588222488E-2</v>
      </c>
    </row>
    <row r="16" spans="1:5" s="7" customFormat="1">
      <c r="A16" s="240" t="str">
        <f>ORÇAMENTO!B477</f>
        <v>8.0</v>
      </c>
      <c r="B16" s="243" t="str">
        <f>ORÇAMENTO!E477</f>
        <v>C.A.E.C. 2 - CENTRO DE ATIVIDADE EDUC COMPLEMENTAR 2</v>
      </c>
      <c r="C16" s="386">
        <f>ORÇAMENTO!J519</f>
        <v>72915.555399064819</v>
      </c>
      <c r="D16" s="248">
        <f t="shared" si="0"/>
        <v>1.6252718525284648E-2</v>
      </c>
    </row>
    <row r="17" spans="1:4" s="7" customFormat="1">
      <c r="A17" s="240" t="str">
        <f>ORÇAMENTO!B520</f>
        <v>9.0</v>
      </c>
      <c r="B17" s="243" t="str">
        <f>ORÇAMENTO!E520</f>
        <v>C.E.I. IZOLINA ZANCOPÉ MUNARI</v>
      </c>
      <c r="C17" s="386">
        <f>ORÇAMENTO!J586</f>
        <v>148740.9838695268</v>
      </c>
      <c r="D17" s="248">
        <f t="shared" si="0"/>
        <v>3.3154041421953266E-2</v>
      </c>
    </row>
    <row r="18" spans="1:4" s="7" customFormat="1">
      <c r="A18" s="240" t="str">
        <f>ORÇAMENTO!B587</f>
        <v>10.0</v>
      </c>
      <c r="B18" s="243" t="str">
        <f>ORÇAMENTO!E587</f>
        <v>E.M.E.B. PROF. ELAINE MARIA ALVES SIQUEIRA</v>
      </c>
      <c r="C18" s="386">
        <f>ORÇAMENTO!J638</f>
        <v>128827.9235805037</v>
      </c>
      <c r="D18" s="248">
        <f t="shared" si="0"/>
        <v>2.8715463644094545E-2</v>
      </c>
    </row>
    <row r="19" spans="1:4" s="7" customFormat="1">
      <c r="A19" s="240" t="str">
        <f>ORÇAMENTO!B639</f>
        <v>11.0</v>
      </c>
      <c r="B19" s="243" t="str">
        <f>ORÇAMENTO!E639</f>
        <v>E.M.E.B. DR.ARLINDO MORANDINI</v>
      </c>
      <c r="C19" s="386">
        <f>ORÇAMENTO!J698</f>
        <v>128800.36266500746</v>
      </c>
      <c r="D19" s="248">
        <f t="shared" si="0"/>
        <v>2.8709320376044154E-2</v>
      </c>
    </row>
    <row r="20" spans="1:4" s="7" customFormat="1">
      <c r="A20" s="240" t="str">
        <f>ORÇAMENTO!B699</f>
        <v>12.0</v>
      </c>
      <c r="B20" s="243" t="str">
        <f>ORÇAMENTO!E699</f>
        <v>E.M.E.B. ENFERMEIRA MARIA MAGDALENA BRASIL</v>
      </c>
      <c r="C20" s="386">
        <f>ORÇAMENTO!J761</f>
        <v>161862.8089571904</v>
      </c>
      <c r="D20" s="248">
        <f t="shared" si="0"/>
        <v>3.607886766130123E-2</v>
      </c>
    </row>
    <row r="21" spans="1:4" s="7" customFormat="1">
      <c r="A21" s="240" t="str">
        <f>ORÇAMENTO!B762</f>
        <v>13.0</v>
      </c>
      <c r="B21" s="243" t="str">
        <f>ORÇAMENTO!E762</f>
        <v>C.E.I. ODETTE LEITE DE MORAES</v>
      </c>
      <c r="C21" s="386">
        <f>ORÇAMENTO!J831</f>
        <v>181590.30238232741</v>
      </c>
      <c r="D21" s="248">
        <f t="shared" si="0"/>
        <v>4.0476082989270433E-2</v>
      </c>
    </row>
    <row r="22" spans="1:4" s="7" customFormat="1">
      <c r="A22" s="240" t="str">
        <f>ORÇAMENTO!B832</f>
        <v>14.0</v>
      </c>
      <c r="B22" s="243" t="str">
        <f>ORÇAMENTO!E832</f>
        <v>E.M.E.B. PROFESSORA VITÓRIA OLIVITO NONINO</v>
      </c>
      <c r="C22" s="386">
        <f>ORÇAMENTO!J898</f>
        <v>262464.6741227294</v>
      </c>
      <c r="D22" s="248">
        <f t="shared" si="0"/>
        <v>5.8502804346766218E-2</v>
      </c>
    </row>
    <row r="23" spans="1:4" s="7" customFormat="1">
      <c r="A23" s="240" t="str">
        <f>ORÇAMENTO!B899</f>
        <v>15.0</v>
      </c>
      <c r="B23" s="243" t="str">
        <f>ORÇAMENTO!E899</f>
        <v>E.M.E.B. PROFESSORA ALCINÉIA GOUVEIA DE FREITAS</v>
      </c>
      <c r="C23" s="386">
        <f>ORÇAMENTO!J954</f>
        <v>222727.28206986401</v>
      </c>
      <c r="D23" s="248">
        <f t="shared" si="0"/>
        <v>4.9645426186105762E-2</v>
      </c>
    </row>
    <row r="24" spans="1:4" s="7" customFormat="1">
      <c r="A24" s="240" t="str">
        <f>ORÇAMENTO!B955</f>
        <v>16.0</v>
      </c>
      <c r="B24" s="243" t="str">
        <f>ORÇAMENTO!E955</f>
        <v>E.M.E.B. ARTHUR OLIVA</v>
      </c>
      <c r="C24" s="386">
        <f>ORÇAMENTO!J1023</f>
        <v>250987.74332702754</v>
      </c>
      <c r="D24" s="248">
        <f t="shared" si="0"/>
        <v>5.5944621463349463E-2</v>
      </c>
    </row>
    <row r="25" spans="1:4" s="7" customFormat="1">
      <c r="A25" s="240" t="str">
        <f>ORÇAMENTO!B1024</f>
        <v>17.0</v>
      </c>
      <c r="B25" s="243" t="str">
        <f>ORÇAMENTO!E1024</f>
        <v>E.M.E.B. IRMA DE MIRANDA MELLO</v>
      </c>
      <c r="C25" s="386">
        <f>ORÇAMENTO!J1090</f>
        <v>152393.72856774411</v>
      </c>
      <c r="D25" s="248">
        <f t="shared" si="0"/>
        <v>3.3968230261357119E-2</v>
      </c>
    </row>
    <row r="26" spans="1:4" s="7" customFormat="1">
      <c r="A26" s="240" t="str">
        <f>ORÇAMENTO!B1091</f>
        <v>18.0</v>
      </c>
      <c r="B26" s="243" t="str">
        <f>ORÇAMENTO!E1091</f>
        <v>E.M.E.B. MARIA LUCIA BERTI</v>
      </c>
      <c r="C26" s="386">
        <f>ORÇAMENTO!J1152</f>
        <v>127034.51419575445</v>
      </c>
      <c r="D26" s="248">
        <f t="shared" si="0"/>
        <v>2.8315716597371681E-2</v>
      </c>
    </row>
    <row r="27" spans="1:4" s="7" customFormat="1">
      <c r="A27" s="240" t="str">
        <f>ORÇAMENTO!B1153</f>
        <v>19.0</v>
      </c>
      <c r="B27" s="243" t="str">
        <f>ORÇAMENTO!E1153</f>
        <v>E.M.E.B. MAURÍCIO LEITE DE MORAES</v>
      </c>
      <c r="C27" s="386">
        <f>ORÇAMENTO!J1221</f>
        <v>276647.17288072209</v>
      </c>
      <c r="D27" s="248">
        <f t="shared" si="0"/>
        <v>6.1664052437620243E-2</v>
      </c>
    </row>
    <row r="28" spans="1:4" s="7" customFormat="1">
      <c r="A28" s="240" t="str">
        <f>ORÇAMENTO!B1222</f>
        <v>20.0</v>
      </c>
      <c r="B28" s="243" t="str">
        <f>ORÇAMENTO!E1222</f>
        <v>C.E.I. JOSÉ RIBEIRO DE MENDONÇA NETO</v>
      </c>
      <c r="C28" s="386">
        <f>ORÇAMENTO!J1284</f>
        <v>154297.36785412821</v>
      </c>
      <c r="D28" s="248">
        <f t="shared" si="0"/>
        <v>3.4392547313129469E-2</v>
      </c>
    </row>
    <row r="29" spans="1:4" s="7" customFormat="1">
      <c r="A29" s="240" t="str">
        <f>ORÇAMENTO!B1285</f>
        <v>21.0</v>
      </c>
      <c r="B29" s="243" t="str">
        <f>ORÇAMENTO!E1285</f>
        <v>E.M.E.B. PAULO BIMBO GOMES</v>
      </c>
      <c r="C29" s="386">
        <f>ORÇAMENTO!J1340</f>
        <v>134969.45008344884</v>
      </c>
      <c r="D29" s="248">
        <f t="shared" si="0"/>
        <v>3.0084396528465378E-2</v>
      </c>
    </row>
    <row r="30" spans="1:4" s="7" customFormat="1">
      <c r="A30" s="240" t="str">
        <f>ORÇAMENTO!B1341</f>
        <v>22.0</v>
      </c>
      <c r="B30" s="243" t="str">
        <f>ORÇAMENTO!E1341</f>
        <v>E.M.E.B. PEDRO BORDIGNON NETO II</v>
      </c>
      <c r="C30" s="386">
        <f>ORÇAMENTO!J1396</f>
        <v>115964.97607932807</v>
      </c>
      <c r="D30" s="248">
        <f t="shared" si="0"/>
        <v>2.5848340655070415E-2</v>
      </c>
    </row>
    <row r="31" spans="1:4" s="7" customFormat="1">
      <c r="A31" s="240" t="str">
        <f>ORÇAMENTO!B1397</f>
        <v>23.0</v>
      </c>
      <c r="B31" s="243" t="str">
        <f>ORÇAMENTO!E1397</f>
        <v>E.M.E.B. SANTO GARBIM</v>
      </c>
      <c r="C31" s="386">
        <f>ORÇAMENTO!J1455</f>
        <v>98037.684005776246</v>
      </c>
      <c r="D31" s="248">
        <f t="shared" si="0"/>
        <v>2.1852386288442341E-2</v>
      </c>
    </row>
    <row r="32" spans="1:4" s="7" customFormat="1" ht="15" thickBot="1">
      <c r="A32" s="240" t="str">
        <f>ORÇAMENTO!B1456</f>
        <v>24.0</v>
      </c>
      <c r="B32" s="244" t="str">
        <f>ORÇAMENTO!E1456</f>
        <v>E.M.E.B. PEDRO BORDIGNON NETO I</v>
      </c>
      <c r="C32" s="387">
        <f>ORÇAMENTO!J1517</f>
        <v>184046.51378214333</v>
      </c>
      <c r="D32" s="245">
        <f>C32/C33</f>
        <v>4.102356716190441E-2</v>
      </c>
    </row>
    <row r="33" spans="1:4" s="55" customFormat="1" ht="16.2" thickBot="1">
      <c r="A33" s="536" t="s">
        <v>10</v>
      </c>
      <c r="B33" s="537"/>
      <c r="C33" s="118">
        <f>SUM(C9:C32)</f>
        <v>4486360.5608888613</v>
      </c>
      <c r="D33" s="119">
        <f>SUM(D9:D32)</f>
        <v>0.99999999999999978</v>
      </c>
    </row>
    <row r="34" spans="1:4">
      <c r="A34" s="514"/>
      <c r="B34" s="146"/>
      <c r="C34" s="146"/>
      <c r="D34" s="515"/>
    </row>
    <row r="35" spans="1:4" ht="18">
      <c r="A35" s="552"/>
      <c r="B35" s="553"/>
      <c r="C35" s="553"/>
      <c r="D35" s="554"/>
    </row>
    <row r="36" spans="1:4">
      <c r="A36" s="514"/>
      <c r="B36" s="146"/>
      <c r="C36" s="146"/>
      <c r="D36" s="515"/>
    </row>
    <row r="37" spans="1:4" ht="46.5" customHeight="1">
      <c r="A37" s="555"/>
      <c r="B37" s="556"/>
      <c r="C37" s="556"/>
      <c r="D37" s="557"/>
    </row>
    <row r="38" spans="1:4" ht="15.6">
      <c r="A38" s="516"/>
      <c r="B38" s="507"/>
      <c r="C38" s="507"/>
      <c r="D38" s="517"/>
    </row>
    <row r="39" spans="1:4" ht="15.6">
      <c r="A39" s="516"/>
      <c r="B39" s="507"/>
      <c r="C39" s="507"/>
      <c r="D39" s="517"/>
    </row>
    <row r="40" spans="1:4">
      <c r="A40" s="558"/>
      <c r="B40" s="559"/>
      <c r="C40" s="559"/>
      <c r="D40" s="560"/>
    </row>
    <row r="41" spans="1:4">
      <c r="A41" s="558"/>
      <c r="B41" s="559"/>
      <c r="C41" s="559"/>
      <c r="D41" s="560"/>
    </row>
    <row r="42" spans="1:4">
      <c r="A42" s="558"/>
      <c r="B42" s="559"/>
      <c r="C42" s="559"/>
      <c r="D42" s="560"/>
    </row>
    <row r="43" spans="1:4">
      <c r="A43" s="558"/>
      <c r="B43" s="559"/>
      <c r="C43" s="559"/>
      <c r="D43" s="560"/>
    </row>
    <row r="44" spans="1:4" ht="15" thickBot="1">
      <c r="A44" s="561"/>
      <c r="B44" s="562"/>
      <c r="C44" s="562"/>
      <c r="D44" s="563"/>
    </row>
    <row r="45" spans="1:4">
      <c r="A45" s="551"/>
      <c r="B45" s="551"/>
      <c r="C45" s="551"/>
      <c r="D45" s="551"/>
    </row>
    <row r="46" spans="1:4">
      <c r="A46" s="551"/>
      <c r="B46" s="551"/>
      <c r="C46" s="551"/>
      <c r="D46" s="551"/>
    </row>
    <row r="47" spans="1:4">
      <c r="A47" s="551"/>
      <c r="B47" s="551"/>
      <c r="C47" s="551"/>
      <c r="D47" s="551"/>
    </row>
    <row r="48" spans="1:4">
      <c r="A48" s="551"/>
      <c r="B48" s="551"/>
      <c r="C48" s="551"/>
      <c r="D48" s="551"/>
    </row>
    <row r="49" spans="1:4">
      <c r="A49" s="551"/>
      <c r="B49" s="551"/>
      <c r="C49" s="551"/>
      <c r="D49" s="551"/>
    </row>
  </sheetData>
  <mergeCells count="18">
    <mergeCell ref="A33:B33"/>
    <mergeCell ref="B5:D5"/>
    <mergeCell ref="B6:D6"/>
    <mergeCell ref="A2:D2"/>
    <mergeCell ref="A1:D1"/>
    <mergeCell ref="A7:D7"/>
    <mergeCell ref="A35:D35"/>
    <mergeCell ref="A37:D37"/>
    <mergeCell ref="A40:D40"/>
    <mergeCell ref="A41:D41"/>
    <mergeCell ref="A42:D42"/>
    <mergeCell ref="A48:D48"/>
    <mergeCell ref="A49:D49"/>
    <mergeCell ref="A43:D43"/>
    <mergeCell ref="A44:D44"/>
    <mergeCell ref="A45:D45"/>
    <mergeCell ref="A46:D46"/>
    <mergeCell ref="A47:D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1629"/>
  <sheetViews>
    <sheetView tabSelected="1" view="pageBreakPreview" topLeftCell="B1" zoomScale="70" zoomScaleNormal="85" zoomScaleSheetLayoutView="70" workbookViewId="0">
      <pane xSplit="1" ySplit="7" topLeftCell="C1507" activePane="bottomRight" state="frozen"/>
      <selection activeCell="B1" sqref="B1"/>
      <selection pane="topRight" activeCell="C1" sqref="C1"/>
      <selection pane="bottomLeft" activeCell="B10" sqref="B10"/>
      <selection pane="bottomRight" activeCell="D1512" sqref="D1512"/>
    </sheetView>
  </sheetViews>
  <sheetFormatPr defaultColWidth="9.109375" defaultRowHeight="14.4"/>
  <cols>
    <col min="1" max="1" width="0" hidden="1" customWidth="1"/>
    <col min="2" max="2" width="8.44140625" style="321" bestFit="1" customWidth="1"/>
    <col min="3" max="3" width="14.6640625" style="321" bestFit="1" customWidth="1"/>
    <col min="4" max="4" width="13.6640625" style="306" customWidth="1"/>
    <col min="5" max="5" width="82.44140625" style="5" customWidth="1"/>
    <col min="6" max="6" width="8.33203125" style="321" bestFit="1" customWidth="1"/>
    <col min="7" max="7" width="14" style="320" customWidth="1"/>
    <col min="8" max="8" width="14.88671875" style="303" customWidth="1"/>
    <col min="9" max="9" width="14.5546875" style="289" bestFit="1" customWidth="1"/>
    <col min="10" max="10" width="22" style="289" bestFit="1" customWidth="1"/>
    <col min="11" max="16384" width="9.109375" style="8"/>
  </cols>
  <sheetData>
    <row r="1" spans="1:10" ht="33.75" customHeight="1" thickBot="1">
      <c r="B1" s="582" t="str">
        <f>[3]RESUMO!$B$2</f>
        <v>PREFEITURA MUNICIPAL DE ORLÂNDIA</v>
      </c>
      <c r="C1" s="583"/>
      <c r="D1" s="583"/>
      <c r="E1" s="583"/>
      <c r="F1" s="583"/>
      <c r="G1" s="583"/>
      <c r="H1" s="583"/>
      <c r="I1" s="583"/>
      <c r="J1" s="584"/>
    </row>
    <row r="2" spans="1:10" ht="15.75" customHeight="1" thickBot="1">
      <c r="B2" s="593"/>
      <c r="C2" s="593"/>
      <c r="D2" s="592" t="str">
        <f>[3]RESUMO!B6</f>
        <v>OBRA:</v>
      </c>
      <c r="E2" s="588" t="str">
        <f>[3]RESUMO!C6</f>
        <v>CLIMATIZAÇÃO ESCOLAS</v>
      </c>
      <c r="F2" s="589"/>
      <c r="G2" s="567" t="s">
        <v>11</v>
      </c>
      <c r="H2" s="568"/>
      <c r="I2" s="518"/>
      <c r="J2" s="575"/>
    </row>
    <row r="3" spans="1:10" ht="30.75" customHeight="1" thickBot="1">
      <c r="B3" s="593"/>
      <c r="C3" s="593"/>
      <c r="D3" s="592"/>
      <c r="E3" s="590"/>
      <c r="F3" s="591"/>
      <c r="G3" s="569" t="s">
        <v>2478</v>
      </c>
      <c r="H3" s="570"/>
      <c r="I3" s="518"/>
      <c r="J3" s="576"/>
    </row>
    <row r="4" spans="1:10" ht="15.75" customHeight="1" thickBot="1">
      <c r="B4" s="593"/>
      <c r="C4" s="593"/>
      <c r="D4" s="592" t="str">
        <f>[3]RESUMO!B7</f>
        <v>END.:</v>
      </c>
      <c r="E4" s="588" t="str">
        <f>[3]RESUMO!C7</f>
        <v>PRAÇA CORONEL ORLANDO, Nº 600 - CENTRO - ORLÂNDIA-SP</v>
      </c>
      <c r="F4" s="589"/>
      <c r="G4" s="571"/>
      <c r="H4" s="572"/>
      <c r="I4" s="519"/>
      <c r="J4" s="575">
        <v>0.19500000000000001</v>
      </c>
    </row>
    <row r="5" spans="1:10" ht="21" customHeight="1" thickBot="1">
      <c r="B5" s="593"/>
      <c r="C5" s="593"/>
      <c r="D5" s="592"/>
      <c r="E5" s="590"/>
      <c r="F5" s="591"/>
      <c r="G5" s="573"/>
      <c r="H5" s="574"/>
      <c r="I5" s="520"/>
      <c r="J5" s="576"/>
    </row>
    <row r="6" spans="1:10" ht="7.2" customHeight="1" thickBot="1">
      <c r="B6" s="585"/>
      <c r="C6" s="586"/>
      <c r="D6" s="586"/>
      <c r="E6" s="586"/>
      <c r="F6" s="586"/>
      <c r="G6" s="586"/>
      <c r="H6" s="586"/>
      <c r="I6" s="586"/>
      <c r="J6" s="587"/>
    </row>
    <row r="7" spans="1:10" s="120" customFormat="1" ht="43.8" thickBot="1">
      <c r="A7" s="4"/>
      <c r="B7" s="56" t="s">
        <v>3</v>
      </c>
      <c r="C7" s="56" t="s">
        <v>13</v>
      </c>
      <c r="D7" s="57" t="s">
        <v>14</v>
      </c>
      <c r="E7" s="57" t="s">
        <v>4</v>
      </c>
      <c r="F7" s="56" t="s">
        <v>15</v>
      </c>
      <c r="G7" s="309" t="s">
        <v>16</v>
      </c>
      <c r="H7" s="470" t="s">
        <v>2465</v>
      </c>
      <c r="I7" s="282" t="s">
        <v>1132</v>
      </c>
      <c r="J7" s="291" t="s">
        <v>17</v>
      </c>
    </row>
    <row r="8" spans="1:10" s="147" customFormat="1">
      <c r="B8" s="403" t="s">
        <v>7</v>
      </c>
      <c r="C8" s="404"/>
      <c r="D8" s="531"/>
      <c r="E8" s="405" t="s">
        <v>1122</v>
      </c>
      <c r="F8" s="404"/>
      <c r="G8" s="406"/>
      <c r="H8" s="407"/>
      <c r="I8" s="408"/>
      <c r="J8" s="409"/>
    </row>
    <row r="9" spans="1:10" s="147" customFormat="1" ht="10.199999999999999" customHeight="1">
      <c r="B9" s="234"/>
      <c r="C9" s="235"/>
      <c r="D9" s="532"/>
      <c r="E9" s="236"/>
      <c r="F9" s="235"/>
      <c r="G9" s="311"/>
      <c r="H9" s="299"/>
      <c r="I9" s="284"/>
      <c r="J9" s="293"/>
    </row>
    <row r="10" spans="1:10" s="261" customFormat="1">
      <c r="B10" s="237" t="s">
        <v>18</v>
      </c>
      <c r="C10" s="238"/>
      <c r="D10" s="533"/>
      <c r="E10" s="239" t="s">
        <v>483</v>
      </c>
      <c r="F10" s="238"/>
      <c r="G10" s="312"/>
      <c r="H10" s="300"/>
      <c r="I10" s="285"/>
      <c r="J10" s="294"/>
    </row>
    <row r="11" spans="1:10" s="150" customFormat="1" ht="28.8">
      <c r="B11" s="381" t="s">
        <v>545</v>
      </c>
      <c r="C11" s="382" t="s">
        <v>1130</v>
      </c>
      <c r="D11" s="317" t="str">
        <f>COMPOSIÇÕES!B6</f>
        <v>FDE - 07/2023</v>
      </c>
      <c r="E11" s="469" t="s">
        <v>1131</v>
      </c>
      <c r="F11" s="382" t="s">
        <v>541</v>
      </c>
      <c r="G11" s="316">
        <v>5</v>
      </c>
      <c r="H11" s="287">
        <f>COMPOSIÇÕES!$J$6</f>
        <v>407.8057</v>
      </c>
      <c r="I11" s="287">
        <f>H11+(H11*$J$4)</f>
        <v>487.3278115</v>
      </c>
      <c r="J11" s="384">
        <f>G11*I11</f>
        <v>2436.6390575</v>
      </c>
    </row>
    <row r="12" spans="1:10" s="150" customFormat="1" ht="33.75" customHeight="1">
      <c r="B12" s="381" t="s">
        <v>789</v>
      </c>
      <c r="C12" s="382">
        <f t="shared" ref="C12:J12" si="0">C85</f>
        <v>37524</v>
      </c>
      <c r="D12" s="383" t="str">
        <f t="shared" si="0"/>
        <v>SINAPI SP - 08/2023</v>
      </c>
      <c r="E12" s="388" t="str">
        <f t="shared" si="0"/>
        <v>ISOLAMENTO DE OBRA COM TELA PLASTICA COM MALHA DE 5MM E ESTRUTURA DE MADEIRA PONTALETEADA</v>
      </c>
      <c r="F12" s="382" t="str">
        <f t="shared" si="0"/>
        <v>M²</v>
      </c>
      <c r="G12" s="316">
        <f t="shared" si="0"/>
        <v>40</v>
      </c>
      <c r="H12" s="287">
        <f t="shared" si="0"/>
        <v>2</v>
      </c>
      <c r="I12" s="287">
        <f t="shared" si="0"/>
        <v>2.39</v>
      </c>
      <c r="J12" s="384">
        <f t="shared" si="0"/>
        <v>95.600000000000009</v>
      </c>
    </row>
    <row r="13" spans="1:10" s="261" customFormat="1">
      <c r="B13" s="594" t="s">
        <v>1235</v>
      </c>
      <c r="C13" s="595"/>
      <c r="D13" s="595"/>
      <c r="E13" s="595"/>
      <c r="F13" s="595"/>
      <c r="G13" s="595"/>
      <c r="H13" s="595"/>
      <c r="I13" s="596"/>
      <c r="J13" s="296">
        <f>SUM(J11:J12)</f>
        <v>2532.2390574999999</v>
      </c>
    </row>
    <row r="14" spans="1:10" s="147" customFormat="1">
      <c r="B14" s="237" t="s">
        <v>1180</v>
      </c>
      <c r="C14" s="238"/>
      <c r="D14" s="533"/>
      <c r="E14" s="239" t="s">
        <v>525</v>
      </c>
      <c r="F14" s="238"/>
      <c r="G14" s="312"/>
      <c r="H14" s="300"/>
      <c r="I14" s="285"/>
      <c r="J14" s="294"/>
    </row>
    <row r="15" spans="1:10" s="276" customFormat="1" ht="28.8">
      <c r="B15" s="381" t="s">
        <v>1181</v>
      </c>
      <c r="C15" s="382" t="s">
        <v>711</v>
      </c>
      <c r="D15" s="383" t="str">
        <f>COMPOSIÇÕES!B10</f>
        <v>SINAPI SP - 08/2023</v>
      </c>
      <c r="E15" s="487" t="s">
        <v>2404</v>
      </c>
      <c r="F15" s="382" t="s">
        <v>431</v>
      </c>
      <c r="G15" s="315">
        <v>24</v>
      </c>
      <c r="H15" s="290">
        <f>SUM(COMPOSIÇÕES!G11:G13)</f>
        <v>328.17395199999999</v>
      </c>
      <c r="I15" s="287">
        <f>COMPOSIÇÕES!J10</f>
        <v>392.16787263999993</v>
      </c>
      <c r="J15" s="384">
        <f t="shared" ref="J15:J30" si="1">G15*I15</f>
        <v>9412.0289433599974</v>
      </c>
    </row>
    <row r="16" spans="1:10" s="276" customFormat="1" ht="86.4">
      <c r="A16" s="267"/>
      <c r="B16" s="381" t="s">
        <v>1182</v>
      </c>
      <c r="C16" s="382" t="s">
        <v>711</v>
      </c>
      <c r="D16" s="383" t="str">
        <f>COMPOSIÇÕES!B14</f>
        <v>SINAPI SP - 08/2023</v>
      </c>
      <c r="E16" s="344" t="s">
        <v>754</v>
      </c>
      <c r="F16" s="382" t="s">
        <v>412</v>
      </c>
      <c r="G16" s="315">
        <v>47</v>
      </c>
      <c r="H16" s="290">
        <f>SUM(COMPOSIÇÕES!G15:G18)</f>
        <v>37.264400000000002</v>
      </c>
      <c r="I16" s="287">
        <f>COMPOSIÇÕES!$J$14</f>
        <v>44.530958000000005</v>
      </c>
      <c r="J16" s="384">
        <f t="shared" si="1"/>
        <v>2092.9550260000001</v>
      </c>
    </row>
    <row r="17" spans="1:10" s="276" customFormat="1" ht="86.4">
      <c r="A17" s="267"/>
      <c r="B17" s="381" t="s">
        <v>1183</v>
      </c>
      <c r="C17" s="382" t="s">
        <v>711</v>
      </c>
      <c r="D17" s="383" t="str">
        <f>COMPOSIÇÕES!B19</f>
        <v>SINAPI SP - 08/2023</v>
      </c>
      <c r="E17" s="344" t="s">
        <v>755</v>
      </c>
      <c r="F17" s="382" t="s">
        <v>412</v>
      </c>
      <c r="G17" s="315">
        <v>47</v>
      </c>
      <c r="H17" s="290">
        <f>SUM(COMPOSIÇÕES!G20:G23)</f>
        <v>69.234999999999985</v>
      </c>
      <c r="I17" s="287">
        <f>COMPOSIÇÕES!$J$19</f>
        <v>82.735824999999991</v>
      </c>
      <c r="J17" s="384">
        <f t="shared" si="1"/>
        <v>3888.5837749999996</v>
      </c>
    </row>
    <row r="18" spans="1:10" s="276" customFormat="1" ht="86.4">
      <c r="A18" s="267"/>
      <c r="B18" s="381" t="s">
        <v>1184</v>
      </c>
      <c r="C18" s="382" t="s">
        <v>711</v>
      </c>
      <c r="D18" s="383" t="str">
        <f>COMPOSIÇÕES!B24</f>
        <v>SINAPI SP - 08/2023</v>
      </c>
      <c r="E18" s="344" t="s">
        <v>747</v>
      </c>
      <c r="F18" s="382" t="s">
        <v>412</v>
      </c>
      <c r="G18" s="315">
        <v>235</v>
      </c>
      <c r="H18" s="290">
        <f>SUM(COMPOSIÇÕES!G25:G28)</f>
        <v>53.322000000000003</v>
      </c>
      <c r="I18" s="287">
        <f>COMPOSIÇÕES!$J$24</f>
        <v>63.719789999999996</v>
      </c>
      <c r="J18" s="384">
        <f t="shared" si="1"/>
        <v>14974.15065</v>
      </c>
    </row>
    <row r="19" spans="1:10" s="391" customFormat="1" ht="86.4">
      <c r="A19" s="267"/>
      <c r="B19" s="381" t="s">
        <v>1185</v>
      </c>
      <c r="C19" s="394" t="s">
        <v>711</v>
      </c>
      <c r="D19" s="383" t="str">
        <f>COMPOSIÇÕES!B25</f>
        <v xml:space="preserve">SINAPI SP - 08/2023 </v>
      </c>
      <c r="E19" s="395" t="s">
        <v>748</v>
      </c>
      <c r="F19" s="394" t="s">
        <v>412</v>
      </c>
      <c r="G19" s="315">
        <v>230</v>
      </c>
      <c r="H19" s="392">
        <f>SUM(COMPOSIÇÕES!G30:G33)</f>
        <v>85.438000000000002</v>
      </c>
      <c r="I19" s="396">
        <f>COMPOSIÇÕES!$J$29</f>
        <v>102.09840999999999</v>
      </c>
      <c r="J19" s="397">
        <f t="shared" si="1"/>
        <v>23482.634299999998</v>
      </c>
    </row>
    <row r="20" spans="1:10" s="276" customFormat="1" ht="28.8">
      <c r="A20" s="267"/>
      <c r="B20" s="381" t="s">
        <v>1186</v>
      </c>
      <c r="C20" s="382" t="str">
        <f>COMPOSIÇÕES!A35</f>
        <v>46.32.005</v>
      </c>
      <c r="D20" s="383" t="str">
        <f>COMPOSIÇÕES!B34</f>
        <v>CDHU - BOLETIM 191</v>
      </c>
      <c r="E20" s="474" t="s">
        <v>1170</v>
      </c>
      <c r="F20" s="382" t="s">
        <v>412</v>
      </c>
      <c r="G20" s="315">
        <v>5</v>
      </c>
      <c r="H20" s="290">
        <f>SUM(COMPOSIÇÕES!G35)</f>
        <v>153.47</v>
      </c>
      <c r="I20" s="287">
        <f>COMPOSIÇÕES!$J$34</f>
        <v>183.39664999999999</v>
      </c>
      <c r="J20" s="384">
        <f t="shared" si="1"/>
        <v>916.98325</v>
      </c>
    </row>
    <row r="21" spans="1:10" s="150" customFormat="1" ht="57.6">
      <c r="A21" s="271"/>
      <c r="B21" s="381" t="s">
        <v>1187</v>
      </c>
      <c r="C21" s="382" t="s">
        <v>711</v>
      </c>
      <c r="D21" s="383" t="str">
        <f>COMPOSIÇÕES!B36</f>
        <v xml:space="preserve">SINAPI SP - 08/2023 </v>
      </c>
      <c r="E21" s="398" t="s">
        <v>756</v>
      </c>
      <c r="F21" s="382" t="s">
        <v>413</v>
      </c>
      <c r="G21" s="315">
        <v>70</v>
      </c>
      <c r="H21" s="287">
        <f>SUM(COMPOSIÇÕES!G37:G39)</f>
        <v>84.94</v>
      </c>
      <c r="I21" s="287">
        <f>COMPOSIÇÕES!$J$36</f>
        <v>101.5033</v>
      </c>
      <c r="J21" s="384">
        <f t="shared" si="1"/>
        <v>7105.2309999999998</v>
      </c>
    </row>
    <row r="22" spans="1:10" s="150" customFormat="1" ht="57.6">
      <c r="A22" s="271"/>
      <c r="B22" s="381" t="s">
        <v>1188</v>
      </c>
      <c r="C22" s="382" t="s">
        <v>711</v>
      </c>
      <c r="D22" s="383" t="str">
        <f>COMPOSIÇÕES!B40</f>
        <v xml:space="preserve">SINAPI SP - 08/2023 </v>
      </c>
      <c r="E22" s="398" t="s">
        <v>757</v>
      </c>
      <c r="F22" s="382" t="s">
        <v>413</v>
      </c>
      <c r="G22" s="315">
        <v>600</v>
      </c>
      <c r="H22" s="287">
        <f>SUM(COMPOSIÇÕES!G41:G42)</f>
        <v>75</v>
      </c>
      <c r="I22" s="287">
        <f>COMPOSIÇÕES!J40</f>
        <v>102.24420000000001</v>
      </c>
      <c r="J22" s="384">
        <f t="shared" si="1"/>
        <v>61346.520000000004</v>
      </c>
    </row>
    <row r="23" spans="1:10" s="150" customFormat="1" ht="28.8">
      <c r="A23" s="271"/>
      <c r="B23" s="381" t="s">
        <v>1189</v>
      </c>
      <c r="C23" s="383" t="str">
        <f>COMPOSIÇÕES!A8</f>
        <v>22.02.030</v>
      </c>
      <c r="D23" s="383" t="str">
        <f>COMPOSIÇÕES!B8</f>
        <v>CDHU - BOLETIM 191</v>
      </c>
      <c r="E23" s="388" t="str">
        <f>COMPOSIÇÕES!C8</f>
        <v>Forro em painéis de gesso acartonado, espessura de 12,5mm, fixo</v>
      </c>
      <c r="F23" s="382" t="s">
        <v>541</v>
      </c>
      <c r="G23" s="315">
        <f>19*7*0.55*2</f>
        <v>146.30000000000001</v>
      </c>
      <c r="H23" s="287">
        <f>COMPOSIÇÕES!G9</f>
        <v>99.47</v>
      </c>
      <c r="I23" s="287">
        <f>COMPOSIÇÕES!J8</f>
        <v>118.86664999999999</v>
      </c>
      <c r="J23" s="384">
        <f t="shared" si="1"/>
        <v>17390.190895</v>
      </c>
    </row>
    <row r="24" spans="1:10" s="335" customFormat="1" ht="28.8">
      <c r="A24" s="271"/>
      <c r="B24" s="381" t="s">
        <v>1190</v>
      </c>
      <c r="C24" s="382" t="str">
        <f>COMPOSIÇÕES!A44</f>
        <v>61.10.565</v>
      </c>
      <c r="D24" s="383" t="str">
        <f>COMPOSIÇÕES!B44</f>
        <v>CDHU - BOLETIM 191</v>
      </c>
      <c r="E24" s="388" t="s">
        <v>1042</v>
      </c>
      <c r="F24" s="382" t="s">
        <v>431</v>
      </c>
      <c r="G24" s="315">
        <v>18</v>
      </c>
      <c r="H24" s="287">
        <f>COMPOSIÇÕES!G45</f>
        <v>248.91654375000002</v>
      </c>
      <c r="I24" s="287">
        <f>COMPOSIÇÕES!$J$44</f>
        <v>297.45526978125002</v>
      </c>
      <c r="J24" s="384">
        <f t="shared" si="1"/>
        <v>5354.1948560625005</v>
      </c>
    </row>
    <row r="25" spans="1:10" s="335" customFormat="1" ht="28.8">
      <c r="A25" s="271"/>
      <c r="B25" s="381" t="s">
        <v>1191</v>
      </c>
      <c r="C25" s="382" t="str">
        <f>COMPOSIÇÕES!A46</f>
        <v>61.10.564</v>
      </c>
      <c r="D25" s="383" t="str">
        <f>COMPOSIÇÕES!B46</f>
        <v>CDHU - BOLETIM 191</v>
      </c>
      <c r="E25" s="388" t="s">
        <v>1043</v>
      </c>
      <c r="F25" s="382" t="s">
        <v>431</v>
      </c>
      <c r="G25" s="315">
        <v>2</v>
      </c>
      <c r="H25" s="287">
        <f>COMPOSIÇÕES!G47</f>
        <v>49.947131250000005</v>
      </c>
      <c r="I25" s="287">
        <f>COMPOSIÇÕES!$J$46</f>
        <v>59.68682184375001</v>
      </c>
      <c r="J25" s="384">
        <f t="shared" si="1"/>
        <v>119.37364368750002</v>
      </c>
    </row>
    <row r="26" spans="1:10" s="335" customFormat="1" ht="28.8">
      <c r="A26" s="271"/>
      <c r="B26" s="381" t="s">
        <v>1192</v>
      </c>
      <c r="C26" s="382" t="str">
        <f>COMPOSIÇÕES!A48</f>
        <v>61.10.564</v>
      </c>
      <c r="D26" s="383" t="str">
        <f>COMPOSIÇÕES!B46</f>
        <v>CDHU - BOLETIM 191</v>
      </c>
      <c r="E26" s="388" t="s">
        <v>1044</v>
      </c>
      <c r="F26" s="382" t="s">
        <v>431</v>
      </c>
      <c r="G26" s="315">
        <v>3</v>
      </c>
      <c r="H26" s="287">
        <f>SUM(COMPOSIÇÕES!G49)</f>
        <v>82.875240000000005</v>
      </c>
      <c r="I26" s="287">
        <f>COMPOSIÇÕES!$J$48</f>
        <v>99.035911800000008</v>
      </c>
      <c r="J26" s="384">
        <f t="shared" si="1"/>
        <v>297.10773540000002</v>
      </c>
    </row>
    <row r="27" spans="1:10" s="150" customFormat="1" ht="28.8">
      <c r="A27" s="271"/>
      <c r="B27" s="381" t="s">
        <v>1193</v>
      </c>
      <c r="C27" s="382" t="str">
        <f>COMPOSIÇÕES!A52</f>
        <v>61.10.581</v>
      </c>
      <c r="D27" s="383" t="str">
        <f>COMPOSIÇÕES!B52</f>
        <v>CDHU - BOLETIM 191</v>
      </c>
      <c r="E27" s="388" t="s">
        <v>1120</v>
      </c>
      <c r="F27" s="382" t="s">
        <v>431</v>
      </c>
      <c r="G27" s="315">
        <v>18</v>
      </c>
      <c r="H27" s="287">
        <f>COMPOSIÇÕES!G53</f>
        <v>190.63124999999999</v>
      </c>
      <c r="I27" s="287">
        <f>COMPOSIÇÕES!$J$52</f>
        <v>227.80434374999999</v>
      </c>
      <c r="J27" s="384">
        <f t="shared" si="1"/>
        <v>4100.4781874999999</v>
      </c>
    </row>
    <row r="28" spans="1:10" s="150" customFormat="1" ht="28.8">
      <c r="A28" s="271"/>
      <c r="B28" s="381" t="s">
        <v>1194</v>
      </c>
      <c r="C28" s="382" t="str">
        <f>COMPOSIÇÕES!A54</f>
        <v>61.10.581</v>
      </c>
      <c r="D28" s="383" t="str">
        <f>COMPOSIÇÕES!B54</f>
        <v>CDHU - BOLETIM 191</v>
      </c>
      <c r="E28" s="388" t="s">
        <v>1121</v>
      </c>
      <c r="F28" s="382" t="s">
        <v>431</v>
      </c>
      <c r="G28" s="315">
        <v>2</v>
      </c>
      <c r="H28" s="287">
        <f>COMPOSIÇÕES!G55</f>
        <v>93.197500000000019</v>
      </c>
      <c r="I28" s="287">
        <f>COMPOSIÇÕES!$J$54</f>
        <v>111.37101250000002</v>
      </c>
      <c r="J28" s="384">
        <f t="shared" si="1"/>
        <v>222.74202500000004</v>
      </c>
    </row>
    <row r="29" spans="1:10" s="150" customFormat="1" ht="28.8">
      <c r="A29" s="271"/>
      <c r="B29" s="381" t="s">
        <v>1195</v>
      </c>
      <c r="C29" s="382" t="str">
        <f>COMPOSIÇÕES!A56</f>
        <v>61.10.581</v>
      </c>
      <c r="D29" s="383" t="str">
        <f>COMPOSIÇÕES!B56</f>
        <v>CDHU - BOLETIM 191</v>
      </c>
      <c r="E29" s="388" t="s">
        <v>1117</v>
      </c>
      <c r="F29" s="382" t="s">
        <v>431</v>
      </c>
      <c r="G29" s="315">
        <v>3</v>
      </c>
      <c r="H29" s="287">
        <f>SUM(COMPOSIÇÕES!G57)</f>
        <v>16.945000000000004</v>
      </c>
      <c r="I29" s="287">
        <f>COMPOSIÇÕES!$J$56</f>
        <v>20.249275000000004</v>
      </c>
      <c r="J29" s="384">
        <f t="shared" si="1"/>
        <v>60.747825000000013</v>
      </c>
    </row>
    <row r="30" spans="1:10" s="150" customFormat="1" ht="28.8">
      <c r="A30" s="271"/>
      <c r="B30" s="381" t="s">
        <v>1196</v>
      </c>
      <c r="C30" s="382" t="s">
        <v>711</v>
      </c>
      <c r="D30" s="383" t="str">
        <f>COMPOSIÇÕES!B58</f>
        <v xml:space="preserve">SINAPI SP - 08/2023 </v>
      </c>
      <c r="E30" s="388" t="s">
        <v>758</v>
      </c>
      <c r="F30" s="382" t="s">
        <v>412</v>
      </c>
      <c r="G30" s="315">
        <v>564</v>
      </c>
      <c r="H30" s="287">
        <f>SUM(COMPOSIÇÕES!G59:G61)</f>
        <v>31.499000000000002</v>
      </c>
      <c r="I30" s="287">
        <f>COMPOSIÇÕES!$J$58</f>
        <v>37.641304999999996</v>
      </c>
      <c r="J30" s="384">
        <f t="shared" si="1"/>
        <v>21229.696019999996</v>
      </c>
    </row>
    <row r="31" spans="1:10" s="150" customFormat="1" ht="28.8">
      <c r="A31" s="271"/>
      <c r="B31" s="381" t="s">
        <v>1197</v>
      </c>
      <c r="C31" s="382" t="s">
        <v>711</v>
      </c>
      <c r="D31" s="383" t="s">
        <v>2475</v>
      </c>
      <c r="E31" s="388" t="s">
        <v>725</v>
      </c>
      <c r="F31" s="382" t="s">
        <v>415</v>
      </c>
      <c r="G31" s="315">
        <v>8</v>
      </c>
      <c r="H31" s="287">
        <f>SUM(COMPOSIÇÕES!$G$63:$G$63)</f>
        <v>29.22</v>
      </c>
      <c r="I31" s="287">
        <f>COMPOSIÇÕES!$J$62</f>
        <v>34.917899999999996</v>
      </c>
      <c r="J31" s="384">
        <f t="shared" ref="J31:J36" si="2">I31*G31</f>
        <v>279.34319999999997</v>
      </c>
    </row>
    <row r="32" spans="1:10" s="150" customFormat="1" ht="28.8">
      <c r="A32" s="271"/>
      <c r="B32" s="381" t="s">
        <v>1198</v>
      </c>
      <c r="C32" s="382" t="s">
        <v>711</v>
      </c>
      <c r="D32" s="383" t="str">
        <f>COMPOSIÇÕES!B64</f>
        <v>SINAPI SP - 08/2023</v>
      </c>
      <c r="E32" s="388" t="s">
        <v>697</v>
      </c>
      <c r="F32" s="382" t="s">
        <v>431</v>
      </c>
      <c r="G32" s="315">
        <v>36</v>
      </c>
      <c r="H32" s="287">
        <f>SUM(COMPOSIÇÕES!$G$65:$G$67)</f>
        <v>92.32</v>
      </c>
      <c r="I32" s="287">
        <f>COMPOSIÇÕES!$J$64</f>
        <v>110.32240000000002</v>
      </c>
      <c r="J32" s="384">
        <f t="shared" si="2"/>
        <v>3971.6064000000006</v>
      </c>
    </row>
    <row r="33" spans="1:10" s="150" customFormat="1" ht="28.8">
      <c r="A33" s="271"/>
      <c r="B33" s="381" t="s">
        <v>1199</v>
      </c>
      <c r="C33" s="382" t="s">
        <v>711</v>
      </c>
      <c r="D33" s="383" t="str">
        <f>COMPOSIÇÕES!B68</f>
        <v xml:space="preserve">SINAPI SP - 08/2023 </v>
      </c>
      <c r="E33" s="388" t="s">
        <v>762</v>
      </c>
      <c r="F33" s="382" t="s">
        <v>415</v>
      </c>
      <c r="G33" s="315">
        <v>8</v>
      </c>
      <c r="H33" s="287">
        <f>SUM(COMPOSIÇÕES!$G$69:$G$70)</f>
        <v>58.91</v>
      </c>
      <c r="I33" s="287">
        <f>COMPOSIÇÕES!$J$68</f>
        <v>70.397449999999992</v>
      </c>
      <c r="J33" s="384">
        <f t="shared" si="2"/>
        <v>563.17959999999994</v>
      </c>
    </row>
    <row r="34" spans="1:10" s="150" customFormat="1" ht="28.8">
      <c r="A34" s="271"/>
      <c r="B34" s="381" t="s">
        <v>1200</v>
      </c>
      <c r="C34" s="399" t="s">
        <v>763</v>
      </c>
      <c r="D34" s="273" t="str">
        <f>COMPOSIÇÕES!B71</f>
        <v xml:space="preserve">SINAPI SP - 08/2023 </v>
      </c>
      <c r="E34" s="400" t="s">
        <v>761</v>
      </c>
      <c r="F34" s="273" t="s">
        <v>541</v>
      </c>
      <c r="G34" s="316">
        <v>2</v>
      </c>
      <c r="H34" s="287">
        <f>SUM(COMPOSIÇÕES!$G$72:$G$72)</f>
        <v>28.8</v>
      </c>
      <c r="I34" s="287">
        <f>COMPOSIÇÕES!$J$71</f>
        <v>34.416000000000004</v>
      </c>
      <c r="J34" s="384">
        <f t="shared" si="2"/>
        <v>68.832000000000008</v>
      </c>
    </row>
    <row r="35" spans="1:10" s="150" customFormat="1">
      <c r="A35" s="271"/>
      <c r="B35" s="381" t="s">
        <v>2407</v>
      </c>
      <c r="C35" s="399" t="s">
        <v>759</v>
      </c>
      <c r="D35" s="273" t="str">
        <f>COMPOSIÇÕES!B73</f>
        <v>FDE - 07/2023</v>
      </c>
      <c r="E35" s="400" t="s">
        <v>760</v>
      </c>
      <c r="F35" s="273" t="s">
        <v>701</v>
      </c>
      <c r="G35" s="316">
        <v>1</v>
      </c>
      <c r="H35" s="287">
        <f>COMPOSIÇÕES!F73</f>
        <v>38.485355648535567</v>
      </c>
      <c r="I35" s="287">
        <f>COMPOSIÇÕES!$J$73</f>
        <v>45.99</v>
      </c>
      <c r="J35" s="384">
        <f t="shared" si="2"/>
        <v>45.99</v>
      </c>
    </row>
    <row r="36" spans="1:10" s="150" customFormat="1">
      <c r="A36" s="271"/>
      <c r="B36" s="381" t="s">
        <v>2433</v>
      </c>
      <c r="C36" s="399" t="s">
        <v>764</v>
      </c>
      <c r="D36" s="273" t="str">
        <f>COMPOSIÇÕES!B75</f>
        <v>FDE - 07/2023</v>
      </c>
      <c r="E36" s="400" t="s">
        <v>765</v>
      </c>
      <c r="F36" s="273" t="s">
        <v>541</v>
      </c>
      <c r="G36" s="316">
        <v>3</v>
      </c>
      <c r="H36" s="287">
        <f>COMPOSIÇÕES!F74</f>
        <v>210.81171548117152</v>
      </c>
      <c r="I36" s="287">
        <f>COMPOSIÇÕES!$J$74</f>
        <v>251.91999999999996</v>
      </c>
      <c r="J36" s="384">
        <f t="shared" si="2"/>
        <v>755.75999999999988</v>
      </c>
    </row>
    <row r="37" spans="1:10" s="261" customFormat="1">
      <c r="B37" s="577" t="s">
        <v>1234</v>
      </c>
      <c r="C37" s="578"/>
      <c r="D37" s="578"/>
      <c r="E37" s="578"/>
      <c r="F37" s="578"/>
      <c r="G37" s="578"/>
      <c r="H37" s="578"/>
      <c r="I37" s="578"/>
      <c r="J37" s="296">
        <f>SUM(J15:J36)</f>
        <v>177678.32933201001</v>
      </c>
    </row>
    <row r="38" spans="1:10" s="147" customFormat="1">
      <c r="B38" s="237" t="s">
        <v>551</v>
      </c>
      <c r="C38" s="238"/>
      <c r="D38" s="533"/>
      <c r="E38" s="239" t="s">
        <v>526</v>
      </c>
      <c r="F38" s="238"/>
      <c r="G38" s="312"/>
      <c r="H38" s="300"/>
      <c r="I38" s="285"/>
      <c r="J38" s="294"/>
    </row>
    <row r="39" spans="1:10" s="276" customFormat="1">
      <c r="A39" s="263"/>
      <c r="B39" s="381" t="s">
        <v>552</v>
      </c>
      <c r="C39" s="382" t="s">
        <v>711</v>
      </c>
      <c r="D39" s="273" t="str">
        <f>COMPOSIÇÕES!B78</f>
        <v>FDE - 07/2023</v>
      </c>
      <c r="E39" s="344" t="s">
        <v>745</v>
      </c>
      <c r="F39" s="382" t="s">
        <v>431</v>
      </c>
      <c r="G39" s="316">
        <v>1</v>
      </c>
      <c r="H39" s="290">
        <f>COMPOSIÇÕES!G76+COMPOSIÇÕES!G77+COMPOSIÇÕES!G78</f>
        <v>34.013252032520327</v>
      </c>
      <c r="I39" s="287">
        <f>COMPOSIÇÕES!$J$75</f>
        <v>40.645836178861792</v>
      </c>
      <c r="J39" s="384">
        <f t="shared" ref="J39:J51" si="3">G39*I39</f>
        <v>40.645836178861792</v>
      </c>
    </row>
    <row r="40" spans="1:10" s="276" customFormat="1" ht="43.2">
      <c r="A40" s="263"/>
      <c r="B40" s="381" t="s">
        <v>553</v>
      </c>
      <c r="C40" s="382" t="s">
        <v>711</v>
      </c>
      <c r="D40" s="383" t="s">
        <v>2479</v>
      </c>
      <c r="E40" s="344" t="s">
        <v>742</v>
      </c>
      <c r="F40" s="382" t="s">
        <v>431</v>
      </c>
      <c r="G40" s="316">
        <v>6</v>
      </c>
      <c r="H40" s="290">
        <f>COMPOSIÇÕES!G80+COMPOSIÇÕES!G81+COMPOSIÇÕES!G82</f>
        <v>6.9960000000000004</v>
      </c>
      <c r="I40" s="287">
        <f>COMPOSIÇÕES!$J$79</f>
        <v>8.36022</v>
      </c>
      <c r="J40" s="384">
        <f t="shared" si="3"/>
        <v>50.161320000000003</v>
      </c>
    </row>
    <row r="41" spans="1:10" s="276" customFormat="1">
      <c r="A41" s="263"/>
      <c r="B41" s="381" t="s">
        <v>554</v>
      </c>
      <c r="C41" s="382" t="s">
        <v>739</v>
      </c>
      <c r="D41" s="383" t="str">
        <f>COMPOSIÇÕES!B83</f>
        <v>FDE - 07/2023</v>
      </c>
      <c r="E41" s="344" t="s">
        <v>766</v>
      </c>
      <c r="F41" s="382" t="s">
        <v>431</v>
      </c>
      <c r="G41" s="316">
        <f>39</f>
        <v>39</v>
      </c>
      <c r="H41" s="290">
        <f>COMPOSIÇÕES!F83</f>
        <v>32.35146443514644</v>
      </c>
      <c r="I41" s="287">
        <f>COMPOSIÇÕES!$J$83</f>
        <v>38.659999999999997</v>
      </c>
      <c r="J41" s="384">
        <f t="shared" si="3"/>
        <v>1507.7399999999998</v>
      </c>
    </row>
    <row r="42" spans="1:10" s="276" customFormat="1">
      <c r="A42" s="263"/>
      <c r="B42" s="381" t="s">
        <v>1201</v>
      </c>
      <c r="C42" s="382" t="s">
        <v>739</v>
      </c>
      <c r="D42" s="535" t="str">
        <f>VLOOKUP(C42,COMPOSIÇÕES!A:J,2,FALSE)</f>
        <v>FDE - 07/2023</v>
      </c>
      <c r="E42" s="344" t="s">
        <v>767</v>
      </c>
      <c r="F42" s="382" t="s">
        <v>431</v>
      </c>
      <c r="G42" s="316">
        <v>52</v>
      </c>
      <c r="H42" s="290">
        <v>20.035813008130081</v>
      </c>
      <c r="I42" s="287">
        <f>COMPOSIÇÕES!$J$83</f>
        <v>38.659999999999997</v>
      </c>
      <c r="J42" s="384">
        <f t="shared" si="3"/>
        <v>2010.3199999999997</v>
      </c>
    </row>
    <row r="43" spans="1:10" s="276" customFormat="1">
      <c r="A43" s="263"/>
      <c r="B43" s="381" t="s">
        <v>555</v>
      </c>
      <c r="C43" s="382" t="s">
        <v>739</v>
      </c>
      <c r="D43" s="535" t="str">
        <f>VLOOKUP(C43,COMPOSIÇÕES!A:J,2,FALSE)</f>
        <v>FDE - 07/2023</v>
      </c>
      <c r="E43" s="344" t="s">
        <v>768</v>
      </c>
      <c r="F43" s="382" t="s">
        <v>431</v>
      </c>
      <c r="G43" s="316">
        <v>9</v>
      </c>
      <c r="H43" s="290">
        <v>20.035813008130081</v>
      </c>
      <c r="I43" s="287">
        <f>COMPOSIÇÕES!$J$83</f>
        <v>38.659999999999997</v>
      </c>
      <c r="J43" s="384">
        <f t="shared" si="3"/>
        <v>347.93999999999994</v>
      </c>
    </row>
    <row r="44" spans="1:10" s="276" customFormat="1">
      <c r="A44" s="263"/>
      <c r="B44" s="381" t="s">
        <v>1202</v>
      </c>
      <c r="C44" s="382" t="s">
        <v>738</v>
      </c>
      <c r="D44" s="535" t="str">
        <f>VLOOKUP(C44,COMPOSIÇÕES!A:J,2,FALSE)</f>
        <v>FDE - 07/2023</v>
      </c>
      <c r="E44" s="344" t="s">
        <v>769</v>
      </c>
      <c r="F44" s="382" t="s">
        <v>431</v>
      </c>
      <c r="G44" s="316">
        <v>3</v>
      </c>
      <c r="H44" s="290">
        <f>COMPOSIÇÕES!F84</f>
        <v>37.087866108786606</v>
      </c>
      <c r="I44" s="287">
        <f>COMPOSIÇÕES!$J$84</f>
        <v>44.319999999999993</v>
      </c>
      <c r="J44" s="384">
        <f t="shared" si="3"/>
        <v>132.95999999999998</v>
      </c>
    </row>
    <row r="45" spans="1:10" s="276" customFormat="1" ht="43.2">
      <c r="A45" s="263"/>
      <c r="B45" s="381" t="s">
        <v>1203</v>
      </c>
      <c r="C45" s="382" t="s">
        <v>711</v>
      </c>
      <c r="D45" s="383" t="str">
        <f>COMPOSIÇÕES!B85</f>
        <v>FDE - 07/2023 + SINAPI SP - 08/2023</v>
      </c>
      <c r="E45" s="344" t="s">
        <v>737</v>
      </c>
      <c r="F45" s="382" t="s">
        <v>431</v>
      </c>
      <c r="G45" s="316">
        <v>2</v>
      </c>
      <c r="H45" s="290">
        <f>COMPOSIÇÕES!G86+COMPOSIÇÕES!G87+COMPOSIÇÕES!G88</f>
        <v>187.64000000000001</v>
      </c>
      <c r="I45" s="287">
        <f>COMPOSIÇÕES!$J$85</f>
        <v>224.22980000000001</v>
      </c>
      <c r="J45" s="384">
        <f t="shared" si="3"/>
        <v>448.45960000000002</v>
      </c>
    </row>
    <row r="46" spans="1:10" s="276" customFormat="1">
      <c r="A46" s="263"/>
      <c r="B46" s="381" t="s">
        <v>1204</v>
      </c>
      <c r="C46" s="382" t="s">
        <v>735</v>
      </c>
      <c r="D46" s="383" t="str">
        <f>COMPOSIÇÕES!B89</f>
        <v>FDE - 07/2023</v>
      </c>
      <c r="E46" s="344" t="s">
        <v>736</v>
      </c>
      <c r="F46" s="382" t="s">
        <v>431</v>
      </c>
      <c r="G46" s="316">
        <v>88</v>
      </c>
      <c r="H46" s="290">
        <f>COMPOSIÇÕES!F89</f>
        <v>7.8158995815899575</v>
      </c>
      <c r="I46" s="287">
        <f>COMPOSIÇÕES!$J$89</f>
        <v>9.34</v>
      </c>
      <c r="J46" s="384">
        <f t="shared" si="3"/>
        <v>821.92</v>
      </c>
    </row>
    <row r="47" spans="1:10" s="276" customFormat="1" ht="28.8">
      <c r="A47" s="263"/>
      <c r="B47" s="381" t="s">
        <v>1205</v>
      </c>
      <c r="C47" s="382" t="s">
        <v>1140</v>
      </c>
      <c r="D47" s="383" t="s">
        <v>2473</v>
      </c>
      <c r="E47" s="471" t="s">
        <v>1139</v>
      </c>
      <c r="F47" s="382" t="s">
        <v>412</v>
      </c>
      <c r="G47" s="316">
        <f>16*3</f>
        <v>48</v>
      </c>
      <c r="H47" s="290">
        <f>COMPOSIÇÕES!F90</f>
        <v>83.15</v>
      </c>
      <c r="I47" s="287">
        <f>COMPOSIÇÕES!$J$90</f>
        <v>99.364250000000013</v>
      </c>
      <c r="J47" s="384">
        <f t="shared" si="3"/>
        <v>4769.4840000000004</v>
      </c>
    </row>
    <row r="48" spans="1:10" s="276" customFormat="1" ht="30.75" customHeight="1">
      <c r="A48" s="263"/>
      <c r="B48" s="381" t="s">
        <v>1206</v>
      </c>
      <c r="C48" s="382" t="s">
        <v>1142</v>
      </c>
      <c r="D48" s="383" t="s">
        <v>2473</v>
      </c>
      <c r="E48" s="471" t="str">
        <f>COMPOSIÇÕES!C91</f>
        <v>Eletrocalha perfurada galvanizada a fogo, 100 x 50 mm, com acessórios</v>
      </c>
      <c r="F48" s="382" t="s">
        <v>412</v>
      </c>
      <c r="G48" s="316">
        <f>39*3</f>
        <v>117</v>
      </c>
      <c r="H48" s="290">
        <f>COMPOSIÇÕES!F91</f>
        <v>98.38</v>
      </c>
      <c r="I48" s="287">
        <f>COMPOSIÇÕES!$J$91</f>
        <v>117.5641</v>
      </c>
      <c r="J48" s="384">
        <f t="shared" si="3"/>
        <v>13754.9997</v>
      </c>
    </row>
    <row r="49" spans="1:10" s="276" customFormat="1" ht="28.8">
      <c r="A49" s="263"/>
      <c r="B49" s="381" t="s">
        <v>1207</v>
      </c>
      <c r="C49" s="382" t="s">
        <v>1143</v>
      </c>
      <c r="D49" s="383" t="s">
        <v>2473</v>
      </c>
      <c r="E49" s="471" t="s">
        <v>1144</v>
      </c>
      <c r="F49" s="382" t="s">
        <v>412</v>
      </c>
      <c r="G49" s="316">
        <f>53*3</f>
        <v>159</v>
      </c>
      <c r="H49" s="290">
        <f>COMPOSIÇÕES!F92</f>
        <v>60.65</v>
      </c>
      <c r="I49" s="287">
        <f>COMPOSIÇÕES!$J$92</f>
        <v>72.476749999999996</v>
      </c>
      <c r="J49" s="384">
        <f t="shared" si="3"/>
        <v>11523.803249999999</v>
      </c>
    </row>
    <row r="50" spans="1:10" s="276" customFormat="1" ht="28.8">
      <c r="A50" s="263"/>
      <c r="B50" s="381" t="s">
        <v>1208</v>
      </c>
      <c r="C50" s="382" t="s">
        <v>1146</v>
      </c>
      <c r="D50" s="383" t="s">
        <v>2473</v>
      </c>
      <c r="E50" s="471" t="s">
        <v>1145</v>
      </c>
      <c r="F50" s="382" t="s">
        <v>412</v>
      </c>
      <c r="G50" s="316">
        <f>4*3</f>
        <v>12</v>
      </c>
      <c r="H50" s="290">
        <f>COMPOSIÇÕES!F93</f>
        <v>75.38</v>
      </c>
      <c r="I50" s="287">
        <f>COMPOSIÇÕES!$J$93</f>
        <v>90.079099999999997</v>
      </c>
      <c r="J50" s="384">
        <f t="shared" si="3"/>
        <v>1080.9492</v>
      </c>
    </row>
    <row r="51" spans="1:10" s="276" customFormat="1" ht="28.8">
      <c r="A51" s="263"/>
      <c r="B51" s="381" t="s">
        <v>1209</v>
      </c>
      <c r="C51" s="382" t="s">
        <v>1148</v>
      </c>
      <c r="D51" s="383" t="s">
        <v>2473</v>
      </c>
      <c r="E51" s="471" t="s">
        <v>1147</v>
      </c>
      <c r="F51" s="382" t="s">
        <v>412</v>
      </c>
      <c r="G51" s="316">
        <f>3*3</f>
        <v>9</v>
      </c>
      <c r="H51" s="290">
        <f>COMPOSIÇÕES!F94</f>
        <v>305.01</v>
      </c>
      <c r="I51" s="287">
        <f>COMPOSIÇÕES!$J$94</f>
        <v>364.48694999999998</v>
      </c>
      <c r="J51" s="384">
        <f t="shared" si="3"/>
        <v>3280.3825499999998</v>
      </c>
    </row>
    <row r="52" spans="1:10" s="276" customFormat="1">
      <c r="A52" s="263"/>
      <c r="B52" s="381" t="s">
        <v>1210</v>
      </c>
      <c r="C52" s="382" t="s">
        <v>729</v>
      </c>
      <c r="D52" s="383" t="str">
        <f>COMPOSIÇÕES!B95</f>
        <v>FDE - 07/2023</v>
      </c>
      <c r="E52" s="344" t="s">
        <v>730</v>
      </c>
      <c r="F52" s="382" t="s">
        <v>412</v>
      </c>
      <c r="G52" s="316">
        <v>6</v>
      </c>
      <c r="H52" s="290">
        <f>COMPOSIÇÕES!F95</f>
        <v>50.77</v>
      </c>
      <c r="I52" s="287">
        <f>COMPOSIÇÕES!$J$95</f>
        <v>60.670150000000007</v>
      </c>
      <c r="J52" s="384">
        <f t="shared" ref="J52:J70" si="4">G52*I52</f>
        <v>364.02090000000004</v>
      </c>
    </row>
    <row r="53" spans="1:10" s="276" customFormat="1" ht="28.8">
      <c r="A53" s="263"/>
      <c r="B53" s="381" t="s">
        <v>1211</v>
      </c>
      <c r="C53" s="382">
        <v>91927</v>
      </c>
      <c r="D53" s="383" t="s">
        <v>2471</v>
      </c>
      <c r="E53" s="344" t="s">
        <v>770</v>
      </c>
      <c r="F53" s="382" t="s">
        <v>412</v>
      </c>
      <c r="G53" s="316">
        <v>950</v>
      </c>
      <c r="H53" s="290">
        <v>50.77</v>
      </c>
      <c r="I53" s="287">
        <f>COMPOSIÇÕES!$J$96</f>
        <v>5.7359999999999998</v>
      </c>
      <c r="J53" s="384">
        <f t="shared" si="4"/>
        <v>5449.2</v>
      </c>
    </row>
    <row r="54" spans="1:10" s="276" customFormat="1" ht="28.8">
      <c r="A54" s="263"/>
      <c r="B54" s="381" t="s">
        <v>1212</v>
      </c>
      <c r="C54" s="382">
        <v>91927</v>
      </c>
      <c r="D54" s="383" t="s">
        <v>2471</v>
      </c>
      <c r="E54" s="344" t="s">
        <v>771</v>
      </c>
      <c r="F54" s="382" t="s">
        <v>412</v>
      </c>
      <c r="G54" s="316">
        <v>950</v>
      </c>
      <c r="H54" s="290">
        <v>50.77</v>
      </c>
      <c r="I54" s="287">
        <f>COMPOSIÇÕES!$J$96</f>
        <v>5.7359999999999998</v>
      </c>
      <c r="J54" s="384">
        <f t="shared" si="4"/>
        <v>5449.2</v>
      </c>
    </row>
    <row r="55" spans="1:10" s="276" customFormat="1" ht="28.8">
      <c r="A55" s="263"/>
      <c r="B55" s="381" t="s">
        <v>1213</v>
      </c>
      <c r="C55" s="382">
        <v>91927</v>
      </c>
      <c r="D55" s="383" t="s">
        <v>2471</v>
      </c>
      <c r="E55" s="344" t="s">
        <v>772</v>
      </c>
      <c r="F55" s="382" t="s">
        <v>412</v>
      </c>
      <c r="G55" s="316">
        <v>950</v>
      </c>
      <c r="H55" s="290">
        <v>50.77</v>
      </c>
      <c r="I55" s="287">
        <f>COMPOSIÇÕES!$J$96</f>
        <v>5.7359999999999998</v>
      </c>
      <c r="J55" s="384">
        <f t="shared" si="4"/>
        <v>5449.2</v>
      </c>
    </row>
    <row r="56" spans="1:10" s="276" customFormat="1" ht="28.8">
      <c r="A56" s="263"/>
      <c r="B56" s="381" t="s">
        <v>1214</v>
      </c>
      <c r="C56" s="382">
        <v>91927</v>
      </c>
      <c r="D56" s="383" t="s">
        <v>2471</v>
      </c>
      <c r="E56" s="344" t="s">
        <v>773</v>
      </c>
      <c r="F56" s="382" t="s">
        <v>412</v>
      </c>
      <c r="G56" s="316">
        <v>200</v>
      </c>
      <c r="H56" s="290">
        <v>50.77</v>
      </c>
      <c r="I56" s="287">
        <f>COMPOSIÇÕES!$J$96</f>
        <v>5.7359999999999998</v>
      </c>
      <c r="J56" s="384">
        <f t="shared" si="4"/>
        <v>1147.2</v>
      </c>
    </row>
    <row r="57" spans="1:10" s="276" customFormat="1" ht="28.8">
      <c r="A57" s="263"/>
      <c r="B57" s="381" t="s">
        <v>1215</v>
      </c>
      <c r="C57" s="382">
        <v>91929</v>
      </c>
      <c r="D57" s="383" t="s">
        <v>2471</v>
      </c>
      <c r="E57" s="344" t="s">
        <v>774</v>
      </c>
      <c r="F57" s="382" t="s">
        <v>412</v>
      </c>
      <c r="G57" s="316">
        <v>50</v>
      </c>
      <c r="H57" s="290">
        <f>COMPOSIÇÕES!F97</f>
        <v>6.92</v>
      </c>
      <c r="I57" s="287">
        <f>COMPOSIÇÕES!$J$97</f>
        <v>8.2693999999999992</v>
      </c>
      <c r="J57" s="384">
        <f t="shared" si="4"/>
        <v>413.46999999999997</v>
      </c>
    </row>
    <row r="58" spans="1:10" s="276" customFormat="1" ht="28.8">
      <c r="A58" s="263"/>
      <c r="B58" s="381" t="s">
        <v>1216</v>
      </c>
      <c r="C58" s="382">
        <v>91929</v>
      </c>
      <c r="D58" s="383" t="s">
        <v>2471</v>
      </c>
      <c r="E58" s="344" t="s">
        <v>775</v>
      </c>
      <c r="F58" s="382" t="s">
        <v>412</v>
      </c>
      <c r="G58" s="316">
        <v>50</v>
      </c>
      <c r="H58" s="290">
        <v>6.92</v>
      </c>
      <c r="I58" s="287">
        <f>COMPOSIÇÕES!$J$97</f>
        <v>8.2693999999999992</v>
      </c>
      <c r="J58" s="384">
        <f t="shared" si="4"/>
        <v>413.46999999999997</v>
      </c>
    </row>
    <row r="59" spans="1:10" s="276" customFormat="1" ht="28.8">
      <c r="A59" s="263"/>
      <c r="B59" s="381" t="s">
        <v>1217</v>
      </c>
      <c r="C59" s="382">
        <v>91929</v>
      </c>
      <c r="D59" s="383" t="s">
        <v>2471</v>
      </c>
      <c r="E59" s="344" t="s">
        <v>776</v>
      </c>
      <c r="F59" s="382" t="s">
        <v>412</v>
      </c>
      <c r="G59" s="316">
        <v>200</v>
      </c>
      <c r="H59" s="290">
        <v>6.92</v>
      </c>
      <c r="I59" s="287">
        <f>COMPOSIÇÕES!$J$97</f>
        <v>8.2693999999999992</v>
      </c>
      <c r="J59" s="384">
        <f t="shared" si="4"/>
        <v>1653.8799999999999</v>
      </c>
    </row>
    <row r="60" spans="1:10" s="276" customFormat="1" ht="28.8">
      <c r="A60" s="263"/>
      <c r="B60" s="381" t="s">
        <v>1218</v>
      </c>
      <c r="C60" s="382">
        <v>92984</v>
      </c>
      <c r="D60" s="383" t="s">
        <v>2471</v>
      </c>
      <c r="E60" s="344" t="s">
        <v>777</v>
      </c>
      <c r="F60" s="382" t="s">
        <v>412</v>
      </c>
      <c r="G60" s="316">
        <v>7</v>
      </c>
      <c r="H60" s="290">
        <f>COMPOSIÇÕES!F98</f>
        <v>23.65</v>
      </c>
      <c r="I60" s="287">
        <f>COMPOSIÇÕES!$J$98</f>
        <v>28.261749999999999</v>
      </c>
      <c r="J60" s="384">
        <f t="shared" si="4"/>
        <v>197.83224999999999</v>
      </c>
    </row>
    <row r="61" spans="1:10" s="276" customFormat="1" ht="28.8">
      <c r="A61" s="263"/>
      <c r="B61" s="381" t="s">
        <v>1219</v>
      </c>
      <c r="C61" s="382">
        <v>92988</v>
      </c>
      <c r="D61" s="383" t="s">
        <v>2471</v>
      </c>
      <c r="E61" s="344" t="s">
        <v>778</v>
      </c>
      <c r="F61" s="382" t="s">
        <v>412</v>
      </c>
      <c r="G61" s="316">
        <v>7</v>
      </c>
      <c r="H61" s="290">
        <f>COMPOSIÇÕES!F99</f>
        <v>46.05</v>
      </c>
      <c r="I61" s="287">
        <f>COMPOSIÇÕES!$J$99</f>
        <v>55.029749999999993</v>
      </c>
      <c r="J61" s="384">
        <f t="shared" si="4"/>
        <v>385.20824999999996</v>
      </c>
    </row>
    <row r="62" spans="1:10" s="276" customFormat="1" ht="50.25" customHeight="1">
      <c r="A62" s="263"/>
      <c r="B62" s="381" t="s">
        <v>1220</v>
      </c>
      <c r="C62" s="382">
        <v>92988</v>
      </c>
      <c r="D62" s="383" t="s">
        <v>2471</v>
      </c>
      <c r="E62" s="344" t="s">
        <v>779</v>
      </c>
      <c r="F62" s="382" t="s">
        <v>412</v>
      </c>
      <c r="G62" s="316">
        <v>7</v>
      </c>
      <c r="H62" s="290">
        <v>46.05</v>
      </c>
      <c r="I62" s="287">
        <f>COMPOSIÇÕES!$J$99</f>
        <v>55.029749999999993</v>
      </c>
      <c r="J62" s="384">
        <f t="shared" si="4"/>
        <v>385.20824999999996</v>
      </c>
    </row>
    <row r="63" spans="1:10" s="276" customFormat="1" ht="28.8">
      <c r="A63" s="263"/>
      <c r="B63" s="381" t="s">
        <v>1221</v>
      </c>
      <c r="C63" s="382">
        <v>92988</v>
      </c>
      <c r="D63" s="383" t="s">
        <v>2471</v>
      </c>
      <c r="E63" s="344" t="s">
        <v>780</v>
      </c>
      <c r="F63" s="382" t="s">
        <v>412</v>
      </c>
      <c r="G63" s="316">
        <v>7</v>
      </c>
      <c r="H63" s="290">
        <v>46.05</v>
      </c>
      <c r="I63" s="287">
        <f>COMPOSIÇÕES!$J$99</f>
        <v>55.029749999999993</v>
      </c>
      <c r="J63" s="384">
        <f t="shared" si="4"/>
        <v>385.20824999999996</v>
      </c>
    </row>
    <row r="64" spans="1:10" s="276" customFormat="1" ht="28.8">
      <c r="A64" s="263"/>
      <c r="B64" s="381" t="s">
        <v>1222</v>
      </c>
      <c r="C64" s="382">
        <v>92992</v>
      </c>
      <c r="D64" s="383" t="s">
        <v>2471</v>
      </c>
      <c r="E64" s="529" t="s">
        <v>781</v>
      </c>
      <c r="F64" s="382" t="s">
        <v>412</v>
      </c>
      <c r="G64" s="316">
        <v>7</v>
      </c>
      <c r="H64" s="530">
        <f>VLOOKUP(C64,COMPOSIÇÕES!A:J,6,FALSE)</f>
        <v>81.510000000000005</v>
      </c>
      <c r="I64" s="287">
        <f>COMPOSIÇÕES!$J$100</f>
        <v>97.404450000000011</v>
      </c>
      <c r="J64" s="384">
        <f t="shared" si="4"/>
        <v>681.83115000000009</v>
      </c>
    </row>
    <row r="65" spans="1:10" s="276" customFormat="1" ht="28.8">
      <c r="A65" s="263"/>
      <c r="B65" s="381" t="s">
        <v>1223</v>
      </c>
      <c r="C65" s="382">
        <v>92992</v>
      </c>
      <c r="D65" s="383" t="s">
        <v>2471</v>
      </c>
      <c r="E65" s="344" t="s">
        <v>782</v>
      </c>
      <c r="F65" s="382" t="s">
        <v>412</v>
      </c>
      <c r="G65" s="316">
        <v>17</v>
      </c>
      <c r="H65" s="530">
        <f>VLOOKUP(C65,COMPOSIÇÕES!A:J,6,FALSE)</f>
        <v>81.510000000000005</v>
      </c>
      <c r="I65" s="287">
        <f>COMPOSIÇÕES!$J$100</f>
        <v>97.404450000000011</v>
      </c>
      <c r="J65" s="384">
        <f t="shared" si="4"/>
        <v>1655.8756500000002</v>
      </c>
    </row>
    <row r="66" spans="1:10" s="276" customFormat="1" ht="28.8">
      <c r="A66" s="263"/>
      <c r="B66" s="381" t="s">
        <v>1224</v>
      </c>
      <c r="C66" s="382">
        <v>92998</v>
      </c>
      <c r="D66" s="383" t="s">
        <v>2471</v>
      </c>
      <c r="E66" s="344" t="s">
        <v>783</v>
      </c>
      <c r="F66" s="382" t="s">
        <v>412</v>
      </c>
      <c r="G66" s="316">
        <v>17</v>
      </c>
      <c r="H66" s="530">
        <f>VLOOKUP(C66,COMPOSIÇÕES!A:J,6,FALSE)</f>
        <v>155.85</v>
      </c>
      <c r="I66" s="287">
        <f>COMPOSIÇÕES!$J$101</f>
        <v>186.24074999999999</v>
      </c>
      <c r="J66" s="384">
        <f t="shared" si="4"/>
        <v>3166.0927499999998</v>
      </c>
    </row>
    <row r="67" spans="1:10" s="276" customFormat="1" ht="28.8">
      <c r="A67" s="263"/>
      <c r="B67" s="381" t="s">
        <v>1225</v>
      </c>
      <c r="C67" s="382">
        <v>92998</v>
      </c>
      <c r="D67" s="383" t="s">
        <v>2471</v>
      </c>
      <c r="E67" s="344" t="s">
        <v>784</v>
      </c>
      <c r="F67" s="382" t="s">
        <v>412</v>
      </c>
      <c r="G67" s="316">
        <v>17</v>
      </c>
      <c r="H67" s="530">
        <f>VLOOKUP(C67,COMPOSIÇÕES!A:J,6,FALSE)</f>
        <v>155.85</v>
      </c>
      <c r="I67" s="287">
        <f>COMPOSIÇÕES!$J$101</f>
        <v>186.24074999999999</v>
      </c>
      <c r="J67" s="384">
        <f t="shared" si="4"/>
        <v>3166.0927499999998</v>
      </c>
    </row>
    <row r="68" spans="1:10" s="276" customFormat="1" ht="28.8">
      <c r="A68" s="263"/>
      <c r="B68" s="381" t="s">
        <v>1226</v>
      </c>
      <c r="C68" s="382">
        <v>92998</v>
      </c>
      <c r="D68" s="383" t="s">
        <v>2471</v>
      </c>
      <c r="E68" s="344" t="s">
        <v>785</v>
      </c>
      <c r="F68" s="382" t="s">
        <v>412</v>
      </c>
      <c r="G68" s="316">
        <v>17</v>
      </c>
      <c r="H68" s="530">
        <f>VLOOKUP(C68,COMPOSIÇÕES!A:J,6,FALSE)</f>
        <v>155.85</v>
      </c>
      <c r="I68" s="287">
        <f>COMPOSIÇÕES!$J$101</f>
        <v>186.24074999999999</v>
      </c>
      <c r="J68" s="384">
        <f t="shared" si="4"/>
        <v>3166.0927499999998</v>
      </c>
    </row>
    <row r="69" spans="1:10" s="276" customFormat="1" ht="28.8">
      <c r="A69" s="263"/>
      <c r="B69" s="381" t="s">
        <v>1227</v>
      </c>
      <c r="C69" s="382">
        <v>92998</v>
      </c>
      <c r="D69" s="383" t="s">
        <v>2471</v>
      </c>
      <c r="E69" s="344" t="s">
        <v>786</v>
      </c>
      <c r="F69" s="382" t="s">
        <v>412</v>
      </c>
      <c r="G69" s="316">
        <v>17</v>
      </c>
      <c r="H69" s="530">
        <f>VLOOKUP(C69,COMPOSIÇÕES!A:J,6,FALSE)</f>
        <v>155.85</v>
      </c>
      <c r="I69" s="287">
        <f>COMPOSIÇÕES!$J$101</f>
        <v>186.24074999999999</v>
      </c>
      <c r="J69" s="384">
        <f t="shared" si="4"/>
        <v>3166.0927499999998</v>
      </c>
    </row>
    <row r="70" spans="1:10" s="276" customFormat="1">
      <c r="A70" s="263"/>
      <c r="B70" s="381" t="s">
        <v>1228</v>
      </c>
      <c r="C70" s="382" t="s">
        <v>726</v>
      </c>
      <c r="D70" s="383" t="s">
        <v>2474</v>
      </c>
      <c r="E70" s="344" t="s">
        <v>746</v>
      </c>
      <c r="F70" s="382" t="s">
        <v>412</v>
      </c>
      <c r="G70" s="316">
        <v>15</v>
      </c>
      <c r="H70" s="530">
        <f>VLOOKUP(C70,COMPOSIÇÕES!A:J,6,FALSE)</f>
        <v>78.790000000000006</v>
      </c>
      <c r="I70" s="287">
        <f>COMPOSIÇÕES!$J$102</f>
        <v>94.154050000000012</v>
      </c>
      <c r="J70" s="384">
        <f t="shared" si="4"/>
        <v>1412.3107500000001</v>
      </c>
    </row>
    <row r="71" spans="1:10" s="276" customFormat="1">
      <c r="A71" s="263"/>
      <c r="B71" s="381" t="s">
        <v>1229</v>
      </c>
      <c r="C71" s="382" t="s">
        <v>1149</v>
      </c>
      <c r="D71" s="383" t="s">
        <v>2474</v>
      </c>
      <c r="E71" s="471" t="s">
        <v>1150</v>
      </c>
      <c r="F71" s="382" t="s">
        <v>431</v>
      </c>
      <c r="G71" s="316">
        <v>4</v>
      </c>
      <c r="H71" s="530">
        <f>VLOOKUP(C71,COMPOSIÇÕES!A:J,6,FALSE)</f>
        <v>22.98</v>
      </c>
      <c r="I71" s="287">
        <f>COMPOSIÇÕES!$J$103</f>
        <v>27.461100000000002</v>
      </c>
      <c r="J71" s="384">
        <f t="shared" ref="J71:J75" si="5">G71*I71</f>
        <v>109.84440000000001</v>
      </c>
    </row>
    <row r="72" spans="1:10" s="276" customFormat="1">
      <c r="A72" s="263"/>
      <c r="B72" s="381" t="s">
        <v>1230</v>
      </c>
      <c r="C72" s="382" t="s">
        <v>1151</v>
      </c>
      <c r="D72" s="383" t="s">
        <v>2474</v>
      </c>
      <c r="E72" s="471" t="s">
        <v>1152</v>
      </c>
      <c r="F72" s="382" t="s">
        <v>431</v>
      </c>
      <c r="G72" s="316">
        <v>12</v>
      </c>
      <c r="H72" s="530">
        <f>VLOOKUP(C72,COMPOSIÇÕES!A:J,6,FALSE)</f>
        <v>34.06</v>
      </c>
      <c r="I72" s="287">
        <f>COMPOSIÇÕES!$J$104</f>
        <v>40.701700000000002</v>
      </c>
      <c r="J72" s="384">
        <f t="shared" si="5"/>
        <v>488.42040000000003</v>
      </c>
    </row>
    <row r="73" spans="1:10" s="276" customFormat="1">
      <c r="A73" s="263"/>
      <c r="B73" s="381" t="s">
        <v>1231</v>
      </c>
      <c r="C73" s="382" t="s">
        <v>1154</v>
      </c>
      <c r="D73" s="383" t="s">
        <v>2474</v>
      </c>
      <c r="E73" s="471" t="s">
        <v>1153</v>
      </c>
      <c r="F73" s="382" t="s">
        <v>431</v>
      </c>
      <c r="G73" s="316">
        <v>4</v>
      </c>
      <c r="H73" s="530">
        <f>VLOOKUP(C73,COMPOSIÇÕES!A:J,6,FALSE)</f>
        <v>43.51</v>
      </c>
      <c r="I73" s="287">
        <f>COMPOSIÇÕES!$J$105</f>
        <v>51.994450000000001</v>
      </c>
      <c r="J73" s="384">
        <f t="shared" si="5"/>
        <v>207.9778</v>
      </c>
    </row>
    <row r="74" spans="1:10" s="276" customFormat="1">
      <c r="A74" s="263"/>
      <c r="B74" s="381" t="s">
        <v>1232</v>
      </c>
      <c r="C74" s="382" t="s">
        <v>1155</v>
      </c>
      <c r="D74" s="383" t="s">
        <v>2474</v>
      </c>
      <c r="E74" s="471" t="s">
        <v>1156</v>
      </c>
      <c r="F74" s="382" t="s">
        <v>431</v>
      </c>
      <c r="G74" s="316">
        <v>12</v>
      </c>
      <c r="H74" s="530">
        <f>VLOOKUP(C74,COMPOSIÇÕES!A:J,6,FALSE)</f>
        <v>72.45</v>
      </c>
      <c r="I74" s="287">
        <f>COMPOSIÇÕES!$J$106</f>
        <v>86.577750000000009</v>
      </c>
      <c r="J74" s="384">
        <f t="shared" si="5"/>
        <v>1038.933</v>
      </c>
    </row>
    <row r="75" spans="1:10" s="263" customFormat="1" ht="28.8">
      <c r="B75" s="381" t="s">
        <v>1233</v>
      </c>
      <c r="C75" s="275" t="s">
        <v>711</v>
      </c>
      <c r="D75" s="277" t="s">
        <v>2473</v>
      </c>
      <c r="E75" s="278" t="s">
        <v>1012</v>
      </c>
      <c r="F75" s="275" t="s">
        <v>530</v>
      </c>
      <c r="G75" s="313">
        <v>1</v>
      </c>
      <c r="H75" s="301">
        <f>SUM(COMPOSIÇÕES!$G$108:$G$114)</f>
        <v>11812.395477824268</v>
      </c>
      <c r="I75" s="286">
        <f>COMPOSIÇÕES!$J$107</f>
        <v>14115.812596</v>
      </c>
      <c r="J75" s="295">
        <f t="shared" si="5"/>
        <v>14115.812596</v>
      </c>
    </row>
    <row r="76" spans="1:10" s="147" customFormat="1">
      <c r="B76" s="579" t="s">
        <v>1236</v>
      </c>
      <c r="C76" s="580"/>
      <c r="D76" s="580"/>
      <c r="E76" s="580"/>
      <c r="F76" s="580"/>
      <c r="G76" s="580"/>
      <c r="H76" s="580"/>
      <c r="I76" s="581"/>
      <c r="J76" s="296">
        <f>SUM(J39:J75)</f>
        <v>93838.240102178868</v>
      </c>
    </row>
    <row r="77" spans="1:10" s="263" customFormat="1">
      <c r="B77" s="237" t="s">
        <v>556</v>
      </c>
      <c r="C77" s="238"/>
      <c r="D77" s="533"/>
      <c r="E77" s="239" t="s">
        <v>650</v>
      </c>
      <c r="F77" s="238"/>
      <c r="G77" s="312"/>
      <c r="H77" s="300"/>
      <c r="I77" s="285"/>
      <c r="J77" s="294"/>
    </row>
    <row r="78" spans="1:10" s="276" customFormat="1">
      <c r="A78" s="262"/>
      <c r="B78" s="381" t="s">
        <v>557</v>
      </c>
      <c r="C78" s="382" t="s">
        <v>708</v>
      </c>
      <c r="D78" s="383" t="str">
        <f>COMPOSIÇÕES!B115</f>
        <v>FDE - 07/2023</v>
      </c>
      <c r="E78" s="344" t="s">
        <v>651</v>
      </c>
      <c r="F78" s="382" t="s">
        <v>541</v>
      </c>
      <c r="G78" s="316">
        <v>100</v>
      </c>
      <c r="H78" s="290">
        <f>COMPOSIÇÕES!$G$116</f>
        <v>5.116260162601626</v>
      </c>
      <c r="I78" s="287">
        <f>COMPOSIÇÕES!$J$115</f>
        <v>6.1139308943089432</v>
      </c>
      <c r="J78" s="384">
        <f>G78*I78</f>
        <v>611.39308943089429</v>
      </c>
    </row>
    <row r="79" spans="1:10" s="261" customFormat="1">
      <c r="A79" s="262"/>
      <c r="B79" s="577" t="s">
        <v>1237</v>
      </c>
      <c r="C79" s="578"/>
      <c r="D79" s="578"/>
      <c r="E79" s="578"/>
      <c r="F79" s="578"/>
      <c r="G79" s="578"/>
      <c r="H79" s="578"/>
      <c r="I79" s="578"/>
      <c r="J79" s="296">
        <f>J78</f>
        <v>611.39308943089429</v>
      </c>
    </row>
    <row r="80" spans="1:10" s="261" customFormat="1" ht="25.5" customHeight="1" thickBot="1">
      <c r="B80" s="564" t="s">
        <v>558</v>
      </c>
      <c r="C80" s="565"/>
      <c r="D80" s="565"/>
      <c r="E80" s="565"/>
      <c r="F80" s="565"/>
      <c r="G80" s="565"/>
      <c r="H80" s="565"/>
      <c r="I80" s="566"/>
      <c r="J80" s="297">
        <f>J13+J37+J76+J79</f>
        <v>274660.20158111973</v>
      </c>
    </row>
    <row r="81" spans="1:10" s="147" customFormat="1">
      <c r="B81" s="264" t="s">
        <v>478</v>
      </c>
      <c r="C81" s="265"/>
      <c r="D81" s="534"/>
      <c r="E81" s="266" t="s">
        <v>484</v>
      </c>
      <c r="F81" s="265"/>
      <c r="G81" s="310"/>
      <c r="H81" s="298"/>
      <c r="I81" s="283"/>
      <c r="J81" s="292"/>
    </row>
    <row r="82" spans="1:10" s="147" customFormat="1" ht="6" customHeight="1">
      <c r="B82" s="234"/>
      <c r="C82" s="235"/>
      <c r="D82" s="532"/>
      <c r="E82" s="236"/>
      <c r="F82" s="235"/>
      <c r="G82" s="311"/>
      <c r="H82" s="299"/>
      <c r="I82" s="284"/>
      <c r="J82" s="293"/>
    </row>
    <row r="83" spans="1:10" s="274" customFormat="1">
      <c r="B83" s="237" t="s">
        <v>485</v>
      </c>
      <c r="C83" s="238"/>
      <c r="D83" s="533"/>
      <c r="E83" s="239" t="s">
        <v>483</v>
      </c>
      <c r="F83" s="238"/>
      <c r="G83" s="312"/>
      <c r="H83" s="300"/>
      <c r="I83" s="285"/>
      <c r="J83" s="294"/>
    </row>
    <row r="84" spans="1:10" s="150" customFormat="1" ht="28.8">
      <c r="B84" s="381" t="s">
        <v>220</v>
      </c>
      <c r="C84" s="382" t="s">
        <v>1130</v>
      </c>
      <c r="D84" s="317" t="str">
        <f>COMPOSIÇÕES!B83</f>
        <v>FDE - 07/2023</v>
      </c>
      <c r="E84" s="476" t="s">
        <v>1131</v>
      </c>
      <c r="F84" s="382" t="s">
        <v>541</v>
      </c>
      <c r="G84" s="316">
        <v>5</v>
      </c>
      <c r="H84" s="287">
        <f>COMPOSIÇÕES!$J$6</f>
        <v>407.8057</v>
      </c>
      <c r="I84" s="287">
        <f>H84+(H84*$J$4)</f>
        <v>487.3278115</v>
      </c>
      <c r="J84" s="384">
        <f>G84*I84</f>
        <v>2436.6390575</v>
      </c>
    </row>
    <row r="85" spans="1:10" s="150" customFormat="1" ht="33.75" customHeight="1">
      <c r="B85" s="381" t="s">
        <v>222</v>
      </c>
      <c r="C85" s="382">
        <f t="shared" ref="C85:J85" si="6">C155</f>
        <v>37524</v>
      </c>
      <c r="D85" s="383" t="str">
        <f t="shared" si="6"/>
        <v>SINAPI SP - 08/2023</v>
      </c>
      <c r="E85" s="388" t="str">
        <f t="shared" si="6"/>
        <v>ISOLAMENTO DE OBRA COM TELA PLASTICA COM MALHA DE 5MM E ESTRUTURA DE MADEIRA PONTALETEADA</v>
      </c>
      <c r="F85" s="382" t="str">
        <f t="shared" si="6"/>
        <v>M²</v>
      </c>
      <c r="G85" s="316">
        <f t="shared" si="6"/>
        <v>40</v>
      </c>
      <c r="H85" s="287">
        <f t="shared" si="6"/>
        <v>2</v>
      </c>
      <c r="I85" s="287">
        <f t="shared" si="6"/>
        <v>2.39</v>
      </c>
      <c r="J85" s="384">
        <f t="shared" si="6"/>
        <v>95.600000000000009</v>
      </c>
    </row>
    <row r="86" spans="1:10" s="147" customFormat="1">
      <c r="B86" s="577" t="s">
        <v>1301</v>
      </c>
      <c r="C86" s="578"/>
      <c r="D86" s="578"/>
      <c r="E86" s="578"/>
      <c r="F86" s="578"/>
      <c r="G86" s="578"/>
      <c r="H86" s="578"/>
      <c r="I86" s="578"/>
      <c r="J86" s="296">
        <f>SUM(J84:J85)</f>
        <v>2532.2390574999999</v>
      </c>
    </row>
    <row r="87" spans="1:10" s="147" customFormat="1">
      <c r="B87" s="237" t="s">
        <v>486</v>
      </c>
      <c r="C87" s="238"/>
      <c r="D87" s="533"/>
      <c r="E87" s="239" t="s">
        <v>525</v>
      </c>
      <c r="F87" s="238"/>
      <c r="G87" s="312"/>
      <c r="H87" s="300"/>
      <c r="I87" s="285"/>
      <c r="J87" s="294"/>
    </row>
    <row r="88" spans="1:10" s="276" customFormat="1" ht="28.8">
      <c r="B88" s="381" t="s">
        <v>1247</v>
      </c>
      <c r="C88" s="382" t="s">
        <v>711</v>
      </c>
      <c r="D88" s="383" t="str">
        <f>COMPOSIÇÕES!B10</f>
        <v>SINAPI SP - 08/2023</v>
      </c>
      <c r="E88" s="487" t="s">
        <v>2404</v>
      </c>
      <c r="F88" s="382" t="s">
        <v>431</v>
      </c>
      <c r="G88" s="315">
        <v>44</v>
      </c>
      <c r="H88" s="290">
        <f>SUM(COMPOSIÇÕES!G11:G13)</f>
        <v>328.17395199999999</v>
      </c>
      <c r="I88" s="287">
        <f>COMPOSIÇÕES!J10</f>
        <v>392.16787263999993</v>
      </c>
      <c r="J88" s="384">
        <f t="shared" ref="J88" si="7">G88*I88</f>
        <v>17255.386396159996</v>
      </c>
    </row>
    <row r="89" spans="1:10" s="150" customFormat="1" ht="86.4">
      <c r="B89" s="381" t="s">
        <v>1248</v>
      </c>
      <c r="C89" s="382" t="s">
        <v>711</v>
      </c>
      <c r="D89" s="383" t="str">
        <f>COMPOSIÇÕES!B14</f>
        <v>SINAPI SP - 08/2023</v>
      </c>
      <c r="E89" s="344" t="s">
        <v>754</v>
      </c>
      <c r="F89" s="382" t="s">
        <v>412</v>
      </c>
      <c r="G89" s="315">
        <v>14</v>
      </c>
      <c r="H89" s="290">
        <f>COMPOSIÇÕES!G15+COMPOSIÇÕES!G16+COMPOSIÇÕES!G17+COMPOSIÇÕES!G18</f>
        <v>37.264400000000002</v>
      </c>
      <c r="I89" s="287">
        <f>COMPOSIÇÕES!$J$14</f>
        <v>44.530958000000005</v>
      </c>
      <c r="J89" s="384">
        <f>G89*I89</f>
        <v>623.43341200000009</v>
      </c>
    </row>
    <row r="90" spans="1:10" s="150" customFormat="1" ht="86.4">
      <c r="B90" s="381" t="s">
        <v>1249</v>
      </c>
      <c r="C90" s="382" t="s">
        <v>711</v>
      </c>
      <c r="D90" s="383" t="str">
        <f>COMPOSIÇÕES!B19</f>
        <v>SINAPI SP - 08/2023</v>
      </c>
      <c r="E90" s="344" t="s">
        <v>755</v>
      </c>
      <c r="F90" s="382" t="s">
        <v>412</v>
      </c>
      <c r="G90" s="315">
        <v>8</v>
      </c>
      <c r="H90" s="290">
        <f>COMPOSIÇÕES!G20+COMPOSIÇÕES!G21+COMPOSIÇÕES!G22+COMPOSIÇÕES!G23</f>
        <v>69.234999999999985</v>
      </c>
      <c r="I90" s="287">
        <f>COMPOSIÇÕES!$J$19</f>
        <v>82.735824999999991</v>
      </c>
      <c r="J90" s="384">
        <f t="shared" ref="J90:J102" si="8">G90*I90</f>
        <v>661.88659999999993</v>
      </c>
    </row>
    <row r="91" spans="1:10" s="150" customFormat="1" ht="86.4">
      <c r="B91" s="381" t="s">
        <v>1250</v>
      </c>
      <c r="C91" s="382" t="s">
        <v>711</v>
      </c>
      <c r="D91" s="383" t="str">
        <f>COMPOSIÇÕES!B117</f>
        <v>SINAPI SP - 08/2023</v>
      </c>
      <c r="E91" s="344" t="s">
        <v>804</v>
      </c>
      <c r="F91" s="382" t="s">
        <v>412</v>
      </c>
      <c r="G91" s="315">
        <v>12</v>
      </c>
      <c r="H91" s="290">
        <f>COMPOSIÇÕES!G118+COMPOSIÇÕES!G119+COMPOSIÇÕES!G120+COMPOSIÇÕES!G121</f>
        <v>94.308000000000007</v>
      </c>
      <c r="I91" s="287">
        <f>COMPOSIÇÕES!$J$117</f>
        <v>112.69806</v>
      </c>
      <c r="J91" s="384">
        <f t="shared" si="8"/>
        <v>1352.37672</v>
      </c>
    </row>
    <row r="92" spans="1:10" s="150" customFormat="1" ht="86.4">
      <c r="B92" s="381" t="s">
        <v>1251</v>
      </c>
      <c r="C92" s="382" t="s">
        <v>711</v>
      </c>
      <c r="D92" s="383" t="str">
        <f>COMPOSIÇÕES!B24</f>
        <v>SINAPI SP - 08/2023</v>
      </c>
      <c r="E92" s="344" t="s">
        <v>747</v>
      </c>
      <c r="F92" s="382" t="s">
        <v>412</v>
      </c>
      <c r="G92" s="315">
        <v>74</v>
      </c>
      <c r="H92" s="290">
        <f>COMPOSIÇÕES!G25+COMPOSIÇÕES!G26+COMPOSIÇÕES!G27+COMPOSIÇÕES!G28</f>
        <v>53.322000000000003</v>
      </c>
      <c r="I92" s="287">
        <f>COMPOSIÇÕES!$J$24</f>
        <v>63.719789999999996</v>
      </c>
      <c r="J92" s="384">
        <f t="shared" si="8"/>
        <v>4715.2644599999994</v>
      </c>
    </row>
    <row r="93" spans="1:10" s="393" customFormat="1" ht="86.4">
      <c r="A93" s="150"/>
      <c r="B93" s="381" t="s">
        <v>1252</v>
      </c>
      <c r="C93" s="394" t="s">
        <v>711</v>
      </c>
      <c r="D93" s="389" t="str">
        <f>COMPOSIÇÕES!B29</f>
        <v xml:space="preserve">SINAPI SP - 08/2023 </v>
      </c>
      <c r="E93" s="395" t="s">
        <v>748</v>
      </c>
      <c r="F93" s="394" t="s">
        <v>412</v>
      </c>
      <c r="G93" s="315">
        <v>68</v>
      </c>
      <c r="H93" s="392">
        <f>COMPOSIÇÕES!G30+COMPOSIÇÕES!G31+COMPOSIÇÕES!G32+COMPOSIÇÕES!G33</f>
        <v>85.438000000000002</v>
      </c>
      <c r="I93" s="396">
        <f>COMPOSIÇÕES!$J$29</f>
        <v>102.09840999999999</v>
      </c>
      <c r="J93" s="397">
        <f t="shared" si="8"/>
        <v>6942.6918799999994</v>
      </c>
    </row>
    <row r="94" spans="1:10" s="150" customFormat="1" ht="28.8">
      <c r="A94" s="271"/>
      <c r="B94" s="381" t="s">
        <v>1253</v>
      </c>
      <c r="C94" s="383" t="str">
        <f>COMPOSIÇÕES!A8</f>
        <v>22.02.030</v>
      </c>
      <c r="D94" s="383" t="str">
        <f>COMPOSIÇÕES!B8</f>
        <v>CDHU - BOLETIM 191</v>
      </c>
      <c r="E94" s="388" t="str">
        <f>COMPOSIÇÕES!C8</f>
        <v>Forro em painéis de gesso acartonado, espessura de 12,5mm, fixo</v>
      </c>
      <c r="F94" s="383" t="str">
        <f>COMPOSIÇÕES!D8</f>
        <v>M²</v>
      </c>
      <c r="G94" s="315">
        <f>7*0.55*2*23</f>
        <v>177.10000000000002</v>
      </c>
      <c r="H94" s="287">
        <f>COMPOSIÇÕES!G9</f>
        <v>99.47</v>
      </c>
      <c r="I94" s="287">
        <f>COMPOSIÇÕES!J8</f>
        <v>118.86664999999999</v>
      </c>
      <c r="J94" s="384">
        <f t="shared" si="8"/>
        <v>21051.283715000001</v>
      </c>
    </row>
    <row r="95" spans="1:10" s="150" customFormat="1" ht="57.6">
      <c r="B95" s="381" t="s">
        <v>1254</v>
      </c>
      <c r="C95" s="382" t="s">
        <v>711</v>
      </c>
      <c r="D95" s="383" t="str">
        <f>COMPOSIÇÕES!B36</f>
        <v xml:space="preserve">SINAPI SP - 08/2023 </v>
      </c>
      <c r="E95" s="398" t="s">
        <v>756</v>
      </c>
      <c r="F95" s="382" t="s">
        <v>413</v>
      </c>
      <c r="G95" s="315">
        <v>455</v>
      </c>
      <c r="H95" s="287">
        <f>SUM(COMPOSIÇÕES!G37:G39)</f>
        <v>84.94</v>
      </c>
      <c r="I95" s="287">
        <f>COMPOSIÇÕES!$J$36</f>
        <v>101.5033</v>
      </c>
      <c r="J95" s="384">
        <f t="shared" si="8"/>
        <v>46184.001499999998</v>
      </c>
    </row>
    <row r="96" spans="1:10" s="335" customFormat="1" ht="28.8">
      <c r="A96" s="150"/>
      <c r="B96" s="381" t="s">
        <v>1255</v>
      </c>
      <c r="C96" s="382" t="s">
        <v>711</v>
      </c>
      <c r="D96" s="383" t="str">
        <f>COMPOSIÇÕES!B44</f>
        <v>CDHU - BOLETIM 191</v>
      </c>
      <c r="E96" s="388" t="s">
        <v>1042</v>
      </c>
      <c r="F96" s="382" t="s">
        <v>431</v>
      </c>
      <c r="G96" s="315">
        <v>18</v>
      </c>
      <c r="H96" s="287">
        <f>COMPOSIÇÕES!G45</f>
        <v>248.91654375000002</v>
      </c>
      <c r="I96" s="287">
        <f>COMPOSIÇÕES!$J$44</f>
        <v>297.45526978125002</v>
      </c>
      <c r="J96" s="384">
        <f t="shared" si="8"/>
        <v>5354.1948560625005</v>
      </c>
    </row>
    <row r="97" spans="1:10" s="335" customFormat="1" ht="28.8">
      <c r="A97" s="150"/>
      <c r="B97" s="381" t="s">
        <v>1256</v>
      </c>
      <c r="C97" s="382" t="s">
        <v>711</v>
      </c>
      <c r="D97" s="383" t="str">
        <f>COMPOSIÇÕES!B45</f>
        <v>CDHU - BOLETIM 191</v>
      </c>
      <c r="E97" s="388" t="s">
        <v>1043</v>
      </c>
      <c r="F97" s="382" t="s">
        <v>431</v>
      </c>
      <c r="G97" s="315">
        <v>2</v>
      </c>
      <c r="H97" s="287">
        <f>COMPOSIÇÕES!G47</f>
        <v>49.947131250000005</v>
      </c>
      <c r="I97" s="287">
        <f>COMPOSIÇÕES!$J$46</f>
        <v>59.68682184375001</v>
      </c>
      <c r="J97" s="384">
        <f t="shared" si="8"/>
        <v>119.37364368750002</v>
      </c>
    </row>
    <row r="98" spans="1:10" s="335" customFormat="1" ht="28.8">
      <c r="A98" s="150"/>
      <c r="B98" s="381" t="s">
        <v>1257</v>
      </c>
      <c r="C98" s="382" t="s">
        <v>711</v>
      </c>
      <c r="D98" s="383" t="str">
        <f>COMPOSIÇÕES!B46</f>
        <v>CDHU - BOLETIM 191</v>
      </c>
      <c r="E98" s="388" t="s">
        <v>1044</v>
      </c>
      <c r="F98" s="382" t="s">
        <v>431</v>
      </c>
      <c r="G98" s="315">
        <v>3</v>
      </c>
      <c r="H98" s="287">
        <f>COMPOSIÇÕES!G49</f>
        <v>82.875240000000005</v>
      </c>
      <c r="I98" s="287">
        <f>COMPOSIÇÕES!$J$48</f>
        <v>99.035911800000008</v>
      </c>
      <c r="J98" s="384">
        <f t="shared" si="8"/>
        <v>297.10773540000002</v>
      </c>
    </row>
    <row r="99" spans="1:10" s="150" customFormat="1" ht="28.8">
      <c r="B99" s="381" t="s">
        <v>1258</v>
      </c>
      <c r="C99" s="382" t="s">
        <v>711</v>
      </c>
      <c r="D99" s="383" t="str">
        <f>COMPOSIÇÕES!B47</f>
        <v>CDHU - BOLETIM 191</v>
      </c>
      <c r="E99" s="388" t="s">
        <v>809</v>
      </c>
      <c r="F99" s="382" t="s">
        <v>431</v>
      </c>
      <c r="G99" s="317">
        <v>18</v>
      </c>
      <c r="H99" s="287">
        <f>COMPOSIÇÕES!G53</f>
        <v>190.63124999999999</v>
      </c>
      <c r="I99" s="287">
        <f>COMPOSIÇÕES!$J$122</f>
        <v>40.498550000000009</v>
      </c>
      <c r="J99" s="384">
        <f t="shared" si="8"/>
        <v>728.97390000000019</v>
      </c>
    </row>
    <row r="100" spans="1:10" s="150" customFormat="1" ht="28.8">
      <c r="B100" s="381" t="s">
        <v>1259</v>
      </c>
      <c r="C100" s="382" t="s">
        <v>711</v>
      </c>
      <c r="D100" s="383" t="str">
        <f>COMPOSIÇÕES!B48</f>
        <v>CDHU - BOLETIM 191</v>
      </c>
      <c r="E100" s="388" t="s">
        <v>1119</v>
      </c>
      <c r="F100" s="382" t="s">
        <v>431</v>
      </c>
      <c r="G100" s="317">
        <v>2</v>
      </c>
      <c r="H100" s="287">
        <f>SUM(COMPOSIÇÕES!$G$125:$G$125)</f>
        <v>203.34</v>
      </c>
      <c r="I100" s="287">
        <f>COMPOSIÇÕES!$J$124</f>
        <v>242.9913</v>
      </c>
      <c r="J100" s="384">
        <f t="shared" si="8"/>
        <v>485.98259999999999</v>
      </c>
    </row>
    <row r="101" spans="1:10" s="150" customFormat="1" ht="28.8">
      <c r="B101" s="381" t="s">
        <v>1260</v>
      </c>
      <c r="C101" s="382" t="s">
        <v>711</v>
      </c>
      <c r="D101" s="383" t="str">
        <f>COMPOSIÇÕES!B49</f>
        <v>CDHU - BOLETIM 191</v>
      </c>
      <c r="E101" s="388" t="s">
        <v>1117</v>
      </c>
      <c r="F101" s="382" t="s">
        <v>431</v>
      </c>
      <c r="G101" s="317" t="s">
        <v>436</v>
      </c>
      <c r="H101" s="287">
        <f>COMPOSIÇÕES!G57</f>
        <v>16.945000000000004</v>
      </c>
      <c r="I101" s="287">
        <f>COMPOSIÇÕES!$J$56</f>
        <v>20.249275000000004</v>
      </c>
      <c r="J101" s="384">
        <f t="shared" si="8"/>
        <v>60.747825000000013</v>
      </c>
    </row>
    <row r="102" spans="1:10" s="150" customFormat="1" ht="28.8">
      <c r="A102" s="271"/>
      <c r="B102" s="381" t="s">
        <v>1261</v>
      </c>
      <c r="C102" s="382" t="s">
        <v>711</v>
      </c>
      <c r="D102" s="383" t="str">
        <f>COMPOSIÇÕES!B58</f>
        <v xml:space="preserve">SINAPI SP - 08/2023 </v>
      </c>
      <c r="E102" s="388" t="s">
        <v>758</v>
      </c>
      <c r="F102" s="382" t="s">
        <v>412</v>
      </c>
      <c r="G102" s="315">
        <v>135</v>
      </c>
      <c r="H102" s="287">
        <f>SUM(COMPOSIÇÕES!$G$59:$G$61)</f>
        <v>31.499000000000002</v>
      </c>
      <c r="I102" s="287">
        <f>COMPOSIÇÕES!$J$58</f>
        <v>37.641304999999996</v>
      </c>
      <c r="J102" s="384">
        <f t="shared" si="8"/>
        <v>5081.5761749999992</v>
      </c>
    </row>
    <row r="103" spans="1:10" s="150" customFormat="1" ht="28.8">
      <c r="A103" s="271"/>
      <c r="B103" s="381" t="s">
        <v>1262</v>
      </c>
      <c r="C103" s="382" t="s">
        <v>711</v>
      </c>
      <c r="D103" s="383" t="str">
        <f>COMPOSIÇÕES!B64</f>
        <v>SINAPI SP - 08/2023</v>
      </c>
      <c r="E103" s="388" t="s">
        <v>697</v>
      </c>
      <c r="F103" s="382" t="s">
        <v>431</v>
      </c>
      <c r="G103" s="315">
        <v>44</v>
      </c>
      <c r="H103" s="287">
        <f>SUM(COMPOSIÇÕES!$G$65:$G$67)</f>
        <v>92.32</v>
      </c>
      <c r="I103" s="287">
        <f>COMPOSIÇÕES!$J$64</f>
        <v>110.32240000000002</v>
      </c>
      <c r="J103" s="384">
        <f t="shared" ref="J103:J107" si="9">I103*G103</f>
        <v>4854.1856000000007</v>
      </c>
    </row>
    <row r="104" spans="1:10" s="150" customFormat="1" ht="28.8">
      <c r="A104" s="271"/>
      <c r="B104" s="381" t="s">
        <v>1263</v>
      </c>
      <c r="C104" s="382" t="s">
        <v>711</v>
      </c>
      <c r="D104" s="383" t="str">
        <f>COMPOSIÇÕES!B68</f>
        <v xml:space="preserve">SINAPI SP - 08/2023 </v>
      </c>
      <c r="E104" s="388" t="s">
        <v>762</v>
      </c>
      <c r="F104" s="382" t="s">
        <v>415</v>
      </c>
      <c r="G104" s="315">
        <v>8</v>
      </c>
      <c r="H104" s="287">
        <f>SUM(COMPOSIÇÕES!$G$69:$G$70)</f>
        <v>58.91</v>
      </c>
      <c r="I104" s="287">
        <f>COMPOSIÇÕES!$J$68</f>
        <v>70.397449999999992</v>
      </c>
      <c r="J104" s="384">
        <f t="shared" si="9"/>
        <v>563.17959999999994</v>
      </c>
    </row>
    <row r="105" spans="1:10" s="150" customFormat="1" ht="28.8">
      <c r="A105" s="271"/>
      <c r="B105" s="381" t="s">
        <v>1264</v>
      </c>
      <c r="C105" s="399" t="s">
        <v>763</v>
      </c>
      <c r="D105" s="273" t="str">
        <f>COMPOSIÇÕES!B71</f>
        <v xml:space="preserve">SINAPI SP - 08/2023 </v>
      </c>
      <c r="E105" s="400" t="s">
        <v>761</v>
      </c>
      <c r="F105" s="273" t="s">
        <v>541</v>
      </c>
      <c r="G105" s="316">
        <v>2</v>
      </c>
      <c r="H105" s="287">
        <f>SUM(COMPOSIÇÕES!$G$72:$G$72)</f>
        <v>28.8</v>
      </c>
      <c r="I105" s="287">
        <f>COMPOSIÇÕES!$J$71</f>
        <v>34.416000000000004</v>
      </c>
      <c r="J105" s="384">
        <f t="shared" si="9"/>
        <v>68.832000000000008</v>
      </c>
    </row>
    <row r="106" spans="1:10" s="150" customFormat="1">
      <c r="A106" s="271"/>
      <c r="B106" s="381" t="s">
        <v>2434</v>
      </c>
      <c r="C106" s="399" t="s">
        <v>759</v>
      </c>
      <c r="D106" s="273" t="str">
        <f>COMPOSIÇÕES!B73</f>
        <v>FDE - 07/2023</v>
      </c>
      <c r="E106" s="400" t="s">
        <v>760</v>
      </c>
      <c r="F106" s="273" t="s">
        <v>701</v>
      </c>
      <c r="G106" s="316">
        <v>1</v>
      </c>
      <c r="H106" s="530">
        <f>VLOOKUP(C106,COMPOSIÇÕES!A:J,6,FALSE)</f>
        <v>38.485355648535567</v>
      </c>
      <c r="I106" s="287">
        <f>COMPOSIÇÕES!$J$73</f>
        <v>45.99</v>
      </c>
      <c r="J106" s="384">
        <f t="shared" si="9"/>
        <v>45.99</v>
      </c>
    </row>
    <row r="107" spans="1:10" s="150" customFormat="1">
      <c r="A107" s="271"/>
      <c r="B107" s="381" t="s">
        <v>2435</v>
      </c>
      <c r="C107" s="399" t="s">
        <v>764</v>
      </c>
      <c r="D107" s="273" t="str">
        <f>COMPOSIÇÕES!B74</f>
        <v>FDE - 07/2023</v>
      </c>
      <c r="E107" s="400" t="s">
        <v>765</v>
      </c>
      <c r="F107" s="273" t="s">
        <v>541</v>
      </c>
      <c r="G107" s="316">
        <v>3</v>
      </c>
      <c r="H107" s="530">
        <f>VLOOKUP(C107,COMPOSIÇÕES!A:J,6,FALSE)</f>
        <v>210.81171548117152</v>
      </c>
      <c r="I107" s="287">
        <f>COMPOSIÇÕES!$J$74</f>
        <v>251.91999999999996</v>
      </c>
      <c r="J107" s="384">
        <f t="shared" si="9"/>
        <v>755.75999999999988</v>
      </c>
    </row>
    <row r="108" spans="1:10" s="261" customFormat="1">
      <c r="B108" s="577" t="s">
        <v>1302</v>
      </c>
      <c r="C108" s="578"/>
      <c r="D108" s="578"/>
      <c r="E108" s="578"/>
      <c r="F108" s="578"/>
      <c r="G108" s="578"/>
      <c r="H108" s="578"/>
      <c r="I108" s="578"/>
      <c r="J108" s="296">
        <f>SUM(J88:J107)</f>
        <v>117202.22861830999</v>
      </c>
    </row>
    <row r="109" spans="1:10" s="147" customFormat="1">
      <c r="B109" s="237" t="s">
        <v>546</v>
      </c>
      <c r="C109" s="238"/>
      <c r="D109" s="533"/>
      <c r="E109" s="239" t="s">
        <v>526</v>
      </c>
      <c r="F109" s="238"/>
      <c r="G109" s="312"/>
      <c r="H109" s="300"/>
      <c r="I109" s="285"/>
      <c r="J109" s="294"/>
    </row>
    <row r="110" spans="1:10" s="276" customFormat="1">
      <c r="A110" s="263"/>
      <c r="B110" s="381" t="s">
        <v>1265</v>
      </c>
      <c r="C110" s="382" t="s">
        <v>711</v>
      </c>
      <c r="D110" s="383" t="s">
        <v>2474</v>
      </c>
      <c r="E110" s="344" t="s">
        <v>745</v>
      </c>
      <c r="F110" s="382" t="s">
        <v>431</v>
      </c>
      <c r="G110" s="316">
        <v>1</v>
      </c>
      <c r="H110" s="290">
        <f>SUM(COMPOSIÇÕES!$G$76:$G$78)</f>
        <v>34.013252032520327</v>
      </c>
      <c r="I110" s="287">
        <f>COMPOSIÇÕES!$J$75</f>
        <v>40.645836178861792</v>
      </c>
      <c r="J110" s="384">
        <f t="shared" ref="J110:J129" si="10">G110*I110</f>
        <v>40.645836178861792</v>
      </c>
    </row>
    <row r="111" spans="1:10" s="276" customFormat="1" ht="43.2">
      <c r="A111" s="263"/>
      <c r="B111" s="381" t="s">
        <v>1266</v>
      </c>
      <c r="C111" s="382" t="s">
        <v>711</v>
      </c>
      <c r="D111" s="383" t="s">
        <v>2479</v>
      </c>
      <c r="E111" s="344" t="s">
        <v>742</v>
      </c>
      <c r="F111" s="382" t="s">
        <v>431</v>
      </c>
      <c r="G111" s="316">
        <v>2</v>
      </c>
      <c r="H111" s="290">
        <f>SUM(COMPOSIÇÕES!$G$80:$G$82)</f>
        <v>6.9960000000000004</v>
      </c>
      <c r="I111" s="287">
        <f>COMPOSIÇÕES!$J$79</f>
        <v>8.36022</v>
      </c>
      <c r="J111" s="384">
        <f t="shared" si="10"/>
        <v>16.72044</v>
      </c>
    </row>
    <row r="112" spans="1:10" s="276" customFormat="1" ht="43.2">
      <c r="A112" s="263"/>
      <c r="B112" s="381" t="s">
        <v>1267</v>
      </c>
      <c r="C112" s="382" t="s">
        <v>711</v>
      </c>
      <c r="D112" s="383" t="s">
        <v>2479</v>
      </c>
      <c r="E112" s="344" t="s">
        <v>812</v>
      </c>
      <c r="F112" s="382" t="s">
        <v>431</v>
      </c>
      <c r="G112" s="316">
        <v>10</v>
      </c>
      <c r="H112" s="290">
        <f>SUM(COMPOSIÇÕES!$G$129:$G$131)</f>
        <v>23.056000000000001</v>
      </c>
      <c r="I112" s="287">
        <f>COMPOSIÇÕES!$J$128</f>
        <v>27.551920000000003</v>
      </c>
      <c r="J112" s="384">
        <f t="shared" si="10"/>
        <v>275.51920000000001</v>
      </c>
    </row>
    <row r="113" spans="1:10" s="276" customFormat="1" ht="43.2">
      <c r="A113" s="263"/>
      <c r="B113" s="381" t="s">
        <v>1268</v>
      </c>
      <c r="C113" s="382" t="s">
        <v>711</v>
      </c>
      <c r="D113" s="383" t="s">
        <v>2479</v>
      </c>
      <c r="E113" s="344" t="s">
        <v>813</v>
      </c>
      <c r="F113" s="382" t="s">
        <v>431</v>
      </c>
      <c r="G113" s="316">
        <v>2</v>
      </c>
      <c r="H113" s="290">
        <f>SUM(COMPOSIÇÕES!$G$133:$G$135)</f>
        <v>21.855999999999998</v>
      </c>
      <c r="I113" s="287">
        <f>COMPOSIÇÕES!$J$132</f>
        <v>26.117919999999998</v>
      </c>
      <c r="J113" s="384">
        <f t="shared" si="10"/>
        <v>52.235839999999996</v>
      </c>
    </row>
    <row r="114" spans="1:10" s="276" customFormat="1" ht="28.8">
      <c r="A114" s="263"/>
      <c r="B114" s="381" t="s">
        <v>1269</v>
      </c>
      <c r="C114" s="382" t="str">
        <f>COMPOSIÇÕES!A140</f>
        <v>09.85.062</v>
      </c>
      <c r="D114" s="383" t="str">
        <f>COMPOSIÇÕES!B140</f>
        <v>FDE - 07/2023</v>
      </c>
      <c r="E114" s="344" t="s">
        <v>816</v>
      </c>
      <c r="F114" s="382" t="s">
        <v>431</v>
      </c>
      <c r="G114" s="316">
        <v>4</v>
      </c>
      <c r="H114" s="290">
        <f>SUM(COMPOSIÇÕES!$G$137:$G$139)</f>
        <v>28.625999999999998</v>
      </c>
      <c r="I114" s="287">
        <f>COMPOSIÇÕES!$J$136</f>
        <v>34.208069999999999</v>
      </c>
      <c r="J114" s="384">
        <f t="shared" si="10"/>
        <v>136.83228</v>
      </c>
    </row>
    <row r="115" spans="1:10" s="276" customFormat="1">
      <c r="A115" s="263"/>
      <c r="B115" s="381" t="s">
        <v>1270</v>
      </c>
      <c r="C115" s="382" t="s">
        <v>739</v>
      </c>
      <c r="D115" s="383" t="str">
        <f>COMPOSIÇÕES!B83</f>
        <v>FDE - 07/2023</v>
      </c>
      <c r="E115" s="344" t="s">
        <v>766</v>
      </c>
      <c r="F115" s="382" t="s">
        <v>431</v>
      </c>
      <c r="G115" s="316">
        <v>29</v>
      </c>
      <c r="H115" s="530">
        <f>VLOOKUP(C115,COMPOSIÇÕES!A:J,6,FALSE)</f>
        <v>32.35146443514644</v>
      </c>
      <c r="I115" s="287">
        <f>COMPOSIÇÕES!$J$83</f>
        <v>38.659999999999997</v>
      </c>
      <c r="J115" s="384">
        <f t="shared" si="10"/>
        <v>1121.1399999999999</v>
      </c>
    </row>
    <row r="116" spans="1:10" s="276" customFormat="1">
      <c r="A116" s="263"/>
      <c r="B116" s="381" t="s">
        <v>1271</v>
      </c>
      <c r="C116" s="382" t="s">
        <v>739</v>
      </c>
      <c r="D116" s="535" t="str">
        <f>VLOOKUP(C116,COMPOSIÇÕES!A:J,2,FALSE)</f>
        <v>FDE - 07/2023</v>
      </c>
      <c r="E116" s="344" t="s">
        <v>767</v>
      </c>
      <c r="F116" s="382" t="s">
        <v>431</v>
      </c>
      <c r="G116" s="316">
        <v>29</v>
      </c>
      <c r="H116" s="530">
        <f>VLOOKUP(C116,COMPOSIÇÕES!A:J,6,FALSE)</f>
        <v>32.35146443514644</v>
      </c>
      <c r="I116" s="287">
        <f>COMPOSIÇÕES!$J$83</f>
        <v>38.659999999999997</v>
      </c>
      <c r="J116" s="384">
        <f t="shared" si="10"/>
        <v>1121.1399999999999</v>
      </c>
    </row>
    <row r="117" spans="1:10" s="276" customFormat="1">
      <c r="A117" s="263"/>
      <c r="B117" s="381" t="s">
        <v>1272</v>
      </c>
      <c r="C117" s="382" t="s">
        <v>739</v>
      </c>
      <c r="D117" s="535" t="str">
        <f>VLOOKUP(C117,COMPOSIÇÕES!A:J,2,FALSE)</f>
        <v>FDE - 07/2023</v>
      </c>
      <c r="E117" s="344" t="s">
        <v>768</v>
      </c>
      <c r="F117" s="382" t="s">
        <v>431</v>
      </c>
      <c r="G117" s="316">
        <v>24</v>
      </c>
      <c r="H117" s="530">
        <f>VLOOKUP(C117,COMPOSIÇÕES!A:J,6,FALSE)</f>
        <v>32.35146443514644</v>
      </c>
      <c r="I117" s="287">
        <f>COMPOSIÇÕES!$J$83</f>
        <v>38.659999999999997</v>
      </c>
      <c r="J117" s="384">
        <f t="shared" si="10"/>
        <v>927.83999999999992</v>
      </c>
    </row>
    <row r="118" spans="1:10" s="276" customFormat="1">
      <c r="A118" s="263"/>
      <c r="B118" s="381" t="s">
        <v>1273</v>
      </c>
      <c r="C118" s="382" t="s">
        <v>738</v>
      </c>
      <c r="D118" s="535" t="str">
        <f>VLOOKUP(C118,COMPOSIÇÕES!A:J,2,FALSE)</f>
        <v>FDE - 07/2023</v>
      </c>
      <c r="E118" s="344" t="s">
        <v>818</v>
      </c>
      <c r="F118" s="382" t="s">
        <v>431</v>
      </c>
      <c r="G118" s="316">
        <v>4</v>
      </c>
      <c r="H118" s="530">
        <f>VLOOKUP(C118,COMPOSIÇÕES!A:J,6,FALSE)</f>
        <v>37.087866108786606</v>
      </c>
      <c r="I118" s="287">
        <f>COMPOSIÇÕES!$J$84</f>
        <v>44.319999999999993</v>
      </c>
      <c r="J118" s="384">
        <f t="shared" si="10"/>
        <v>177.27999999999997</v>
      </c>
    </row>
    <row r="119" spans="1:10" s="276" customFormat="1">
      <c r="A119" s="263"/>
      <c r="B119" s="381" t="s">
        <v>1274</v>
      </c>
      <c r="C119" s="382" t="s">
        <v>738</v>
      </c>
      <c r="D119" s="383" t="str">
        <f>COMPOSIÇÕES!B84</f>
        <v>FDE - 07/2023</v>
      </c>
      <c r="E119" s="344" t="s">
        <v>817</v>
      </c>
      <c r="F119" s="382" t="s">
        <v>431</v>
      </c>
      <c r="G119" s="316">
        <v>4</v>
      </c>
      <c r="H119" s="530">
        <f>VLOOKUP(C119,COMPOSIÇÕES!A:J,6,FALSE)</f>
        <v>37.087866108786606</v>
      </c>
      <c r="I119" s="287">
        <f>COMPOSIÇÕES!$J$84</f>
        <v>44.319999999999993</v>
      </c>
      <c r="J119" s="384">
        <f t="shared" si="10"/>
        <v>177.27999999999997</v>
      </c>
    </row>
    <row r="120" spans="1:10" s="276" customFormat="1">
      <c r="A120" s="263"/>
      <c r="B120" s="381" t="s">
        <v>1275</v>
      </c>
      <c r="C120" s="382" t="s">
        <v>738</v>
      </c>
      <c r="D120" s="535" t="str">
        <f>VLOOKUP(C120,COMPOSIÇÕES!A:J,2,FALSE)</f>
        <v>FDE - 07/2023</v>
      </c>
      <c r="E120" s="344" t="s">
        <v>769</v>
      </c>
      <c r="F120" s="382" t="s">
        <v>431</v>
      </c>
      <c r="G120" s="316">
        <v>6</v>
      </c>
      <c r="H120" s="530">
        <f>VLOOKUP(C120,COMPOSIÇÕES!A:J,6,FALSE)</f>
        <v>37.087866108786606</v>
      </c>
      <c r="I120" s="287">
        <f>COMPOSIÇÕES!$J$84</f>
        <v>44.319999999999993</v>
      </c>
      <c r="J120" s="384">
        <f t="shared" si="10"/>
        <v>265.91999999999996</v>
      </c>
    </row>
    <row r="121" spans="1:10" s="276" customFormat="1">
      <c r="A121" s="263"/>
      <c r="B121" s="381" t="s">
        <v>1276</v>
      </c>
      <c r="C121" s="382" t="s">
        <v>819</v>
      </c>
      <c r="D121" s="535" t="str">
        <f>VLOOKUP(C121,COMPOSIÇÕES!A:J,2,FALSE)</f>
        <v>FDE - 07/2023</v>
      </c>
      <c r="E121" s="344" t="s">
        <v>820</v>
      </c>
      <c r="F121" s="382" t="s">
        <v>431</v>
      </c>
      <c r="G121" s="316">
        <v>1</v>
      </c>
      <c r="H121" s="530">
        <f>COMPOSIÇÕES!F140</f>
        <v>68.63</v>
      </c>
      <c r="I121" s="287">
        <f>COMPOSIÇÕES!$J$140</f>
        <v>82.01285</v>
      </c>
      <c r="J121" s="384">
        <f t="shared" si="10"/>
        <v>82.01285</v>
      </c>
    </row>
    <row r="122" spans="1:10" s="276" customFormat="1" ht="43.2">
      <c r="A122" s="263"/>
      <c r="B122" s="381" t="s">
        <v>1277</v>
      </c>
      <c r="C122" s="382" t="s">
        <v>711</v>
      </c>
      <c r="D122" s="383" t="str">
        <f>COMPOSIÇÕES!B85</f>
        <v>FDE - 07/2023 + SINAPI SP - 08/2023</v>
      </c>
      <c r="E122" s="344" t="s">
        <v>737</v>
      </c>
      <c r="F122" s="382" t="s">
        <v>431</v>
      </c>
      <c r="G122" s="316">
        <v>2</v>
      </c>
      <c r="H122" s="290">
        <f>SUM(COMPOSIÇÕES!$G$86:$G$88)</f>
        <v>187.64000000000001</v>
      </c>
      <c r="I122" s="287">
        <f>COMPOSIÇÕES!$J$85</f>
        <v>224.22980000000001</v>
      </c>
      <c r="J122" s="384">
        <f t="shared" si="10"/>
        <v>448.45960000000002</v>
      </c>
    </row>
    <row r="123" spans="1:10" s="276" customFormat="1">
      <c r="A123" s="263"/>
      <c r="B123" s="381" t="s">
        <v>1278</v>
      </c>
      <c r="C123" s="382" t="s">
        <v>735</v>
      </c>
      <c r="D123" s="383" t="str">
        <f>COMPOSIÇÕES!B89</f>
        <v>FDE - 07/2023</v>
      </c>
      <c r="E123" s="344" t="s">
        <v>736</v>
      </c>
      <c r="F123" s="382" t="s">
        <v>431</v>
      </c>
      <c r="G123" s="316">
        <v>237</v>
      </c>
      <c r="H123" s="530">
        <f>VLOOKUP(C123,COMPOSIÇÕES!A:J,6,FALSE)</f>
        <v>7.8158995815899575</v>
      </c>
      <c r="I123" s="287">
        <f>COMPOSIÇÕES!$J$89</f>
        <v>9.34</v>
      </c>
      <c r="J123" s="384">
        <f t="shared" si="10"/>
        <v>2213.58</v>
      </c>
    </row>
    <row r="124" spans="1:10" s="276" customFormat="1" ht="28.8">
      <c r="A124" s="263"/>
      <c r="B124" s="381" t="s">
        <v>1279</v>
      </c>
      <c r="C124" s="382" t="str">
        <f>COMPOSIÇÕES!A90</f>
        <v>38.21.110</v>
      </c>
      <c r="D124" s="383" t="str">
        <f>COMPOSIÇÕES!B90</f>
        <v>CDHU - BOLETIM 191</v>
      </c>
      <c r="E124" s="344" t="str">
        <f>COMPOSIÇÕES!C90</f>
        <v>Eletrocalha lisa galvanizada a fogo, 50 x 50 mm, com acessórios</v>
      </c>
      <c r="F124" s="382" t="s">
        <v>412</v>
      </c>
      <c r="G124" s="316">
        <f>38*3</f>
        <v>114</v>
      </c>
      <c r="H124" s="530">
        <f>VLOOKUP(C124,COMPOSIÇÕES!A:J,6,FALSE)</f>
        <v>83.15</v>
      </c>
      <c r="I124" s="287">
        <f>COMPOSIÇÕES!J90</f>
        <v>99.364250000000013</v>
      </c>
      <c r="J124" s="384">
        <f t="shared" si="10"/>
        <v>11327.524500000001</v>
      </c>
    </row>
    <row r="125" spans="1:10" s="276" customFormat="1" ht="28.8">
      <c r="A125" s="263"/>
      <c r="B125" s="381" t="s">
        <v>1280</v>
      </c>
      <c r="C125" s="382" t="s">
        <v>1240</v>
      </c>
      <c r="D125" s="383" t="s">
        <v>2473</v>
      </c>
      <c r="E125" s="435" t="s">
        <v>1239</v>
      </c>
      <c r="F125" s="382" t="s">
        <v>412</v>
      </c>
      <c r="G125" s="316">
        <f>14*3</f>
        <v>42</v>
      </c>
      <c r="H125" s="530">
        <f>VLOOKUP(C125,COMPOSIÇÕES!A:J,6,FALSE)</f>
        <v>133.91999999999999</v>
      </c>
      <c r="I125" s="287">
        <f>COMPOSIÇÕES!$J$141</f>
        <v>160.03439999999998</v>
      </c>
      <c r="J125" s="384">
        <f t="shared" si="10"/>
        <v>6721.4447999999993</v>
      </c>
    </row>
    <row r="126" spans="1:10" s="276" customFormat="1" ht="28.8">
      <c r="A126" s="263"/>
      <c r="B126" s="381" t="s">
        <v>1281</v>
      </c>
      <c r="C126" s="382" t="s">
        <v>1143</v>
      </c>
      <c r="D126" s="383" t="s">
        <v>2473</v>
      </c>
      <c r="E126" s="344" t="str">
        <f>COMPOSIÇÕES!C92</f>
        <v>Eletroduto galvanizado a quente conforme NBR5598 ‐ 3/4´ com acessórios</v>
      </c>
      <c r="F126" s="382" t="s">
        <v>412</v>
      </c>
      <c r="G126" s="316">
        <v>59</v>
      </c>
      <c r="H126" s="530">
        <f>VLOOKUP(C126,COMPOSIÇÕES!A:J,6,FALSE)</f>
        <v>60.65</v>
      </c>
      <c r="I126" s="287">
        <f>COMPOSIÇÕES!$J$92</f>
        <v>72.476749999999996</v>
      </c>
      <c r="J126" s="384">
        <f t="shared" si="10"/>
        <v>4276.1282499999998</v>
      </c>
    </row>
    <row r="127" spans="1:10" s="276" customFormat="1" ht="28.8">
      <c r="A127" s="263"/>
      <c r="B127" s="381" t="s">
        <v>1282</v>
      </c>
      <c r="C127" s="382" t="s">
        <v>1146</v>
      </c>
      <c r="D127" s="383" t="s">
        <v>2473</v>
      </c>
      <c r="E127" s="344" t="str">
        <f>COMPOSIÇÕES!C93</f>
        <v>Eletroduto galvanizado a quente conforme NBR5598 ‐ 1´ com acessórios</v>
      </c>
      <c r="F127" s="382" t="s">
        <v>412</v>
      </c>
      <c r="G127" s="316">
        <v>27</v>
      </c>
      <c r="H127" s="530">
        <f>VLOOKUP(C127,COMPOSIÇÕES!A:J,6,FALSE)</f>
        <v>75.38</v>
      </c>
      <c r="I127" s="287">
        <f>COMPOSIÇÕES!$J$93</f>
        <v>90.079099999999997</v>
      </c>
      <c r="J127" s="384">
        <f t="shared" si="10"/>
        <v>2432.1356999999998</v>
      </c>
    </row>
    <row r="128" spans="1:10" s="276" customFormat="1" ht="28.8">
      <c r="A128" s="263"/>
      <c r="B128" s="381" t="s">
        <v>1283</v>
      </c>
      <c r="C128" s="382" t="s">
        <v>1408</v>
      </c>
      <c r="D128" s="383" t="s">
        <v>2473</v>
      </c>
      <c r="E128" s="476" t="s">
        <v>1241</v>
      </c>
      <c r="F128" s="382" t="s">
        <v>412</v>
      </c>
      <c r="G128" s="316">
        <v>4</v>
      </c>
      <c r="H128" s="530">
        <f>VLOOKUP(C128,COMPOSIÇÕES!A:J,6,FALSE)</f>
        <v>111.35</v>
      </c>
      <c r="I128" s="287">
        <f>COMPOSIÇÕES!$J$142</f>
        <v>133.06324999999998</v>
      </c>
      <c r="J128" s="384">
        <f t="shared" si="10"/>
        <v>532.25299999999993</v>
      </c>
    </row>
    <row r="129" spans="1:10" s="276" customFormat="1" ht="28.8">
      <c r="A129" s="263"/>
      <c r="B129" s="381" t="s">
        <v>1284</v>
      </c>
      <c r="C129" s="382" t="s">
        <v>1148</v>
      </c>
      <c r="D129" s="383" t="str">
        <f>COMPOSIÇÕES!B94</f>
        <v>CDHU - BOLETIM 191</v>
      </c>
      <c r="E129" s="344" t="str">
        <f>COMPOSIÇÕES!C94</f>
        <v>Eletroduto galvanizado a quente conforme NBR5598 ‐ 4´ com acessórios</v>
      </c>
      <c r="F129" s="382" t="s">
        <v>412</v>
      </c>
      <c r="G129" s="316">
        <v>2</v>
      </c>
      <c r="H129" s="530">
        <f>VLOOKUP(C129,COMPOSIÇÕES!A:J,6,FALSE)</f>
        <v>305.01</v>
      </c>
      <c r="I129" s="287">
        <f>COMPOSIÇÕES!$J$94</f>
        <v>364.48694999999998</v>
      </c>
      <c r="J129" s="384">
        <f t="shared" si="10"/>
        <v>728.97389999999996</v>
      </c>
    </row>
    <row r="130" spans="1:10" s="276" customFormat="1" ht="28.8">
      <c r="A130" s="263"/>
      <c r="B130" s="381" t="s">
        <v>1285</v>
      </c>
      <c r="C130" s="382">
        <v>91927</v>
      </c>
      <c r="D130" s="383" t="s">
        <v>2471</v>
      </c>
      <c r="E130" s="344" t="s">
        <v>770</v>
      </c>
      <c r="F130" s="382" t="s">
        <v>412</v>
      </c>
      <c r="G130" s="316">
        <v>1800</v>
      </c>
      <c r="H130" s="530">
        <f>VLOOKUP(C130,COMPOSIÇÕES!A:J,6,FALSE)</f>
        <v>4.8</v>
      </c>
      <c r="I130" s="287">
        <f>COMPOSIÇÕES!$J$96</f>
        <v>5.7359999999999998</v>
      </c>
      <c r="J130" s="384">
        <f t="shared" ref="J130:J141" si="11">G130*I130</f>
        <v>10324.799999999999</v>
      </c>
    </row>
    <row r="131" spans="1:10" s="276" customFormat="1" ht="28.8">
      <c r="A131" s="263"/>
      <c r="B131" s="381" t="s">
        <v>1286</v>
      </c>
      <c r="C131" s="382">
        <v>91927</v>
      </c>
      <c r="D131" s="383" t="s">
        <v>2471</v>
      </c>
      <c r="E131" s="344" t="s">
        <v>771</v>
      </c>
      <c r="F131" s="382" t="s">
        <v>412</v>
      </c>
      <c r="G131" s="316">
        <v>1800</v>
      </c>
      <c r="H131" s="530">
        <f>VLOOKUP(C131,COMPOSIÇÕES!A:J,6,FALSE)</f>
        <v>4.8</v>
      </c>
      <c r="I131" s="287">
        <f>COMPOSIÇÕES!$J$96</f>
        <v>5.7359999999999998</v>
      </c>
      <c r="J131" s="384">
        <f t="shared" si="11"/>
        <v>10324.799999999999</v>
      </c>
    </row>
    <row r="132" spans="1:10" s="276" customFormat="1" ht="28.8">
      <c r="A132" s="263"/>
      <c r="B132" s="381" t="s">
        <v>1287</v>
      </c>
      <c r="C132" s="382">
        <v>91927</v>
      </c>
      <c r="D132" s="383" t="s">
        <v>2471</v>
      </c>
      <c r="E132" s="344" t="s">
        <v>772</v>
      </c>
      <c r="F132" s="382" t="s">
        <v>412</v>
      </c>
      <c r="G132" s="316">
        <v>1800</v>
      </c>
      <c r="H132" s="530">
        <f>VLOOKUP(C132,COMPOSIÇÕES!A:J,6,FALSE)</f>
        <v>4.8</v>
      </c>
      <c r="I132" s="287">
        <f>COMPOSIÇÕES!$J$96</f>
        <v>5.7359999999999998</v>
      </c>
      <c r="J132" s="384">
        <f t="shared" si="11"/>
        <v>10324.799999999999</v>
      </c>
    </row>
    <row r="133" spans="1:10" s="276" customFormat="1" ht="28.8">
      <c r="A133" s="263"/>
      <c r="B133" s="381" t="s">
        <v>1288</v>
      </c>
      <c r="C133" s="382">
        <v>91927</v>
      </c>
      <c r="D133" s="383" t="s">
        <v>2471</v>
      </c>
      <c r="E133" s="344" t="s">
        <v>773</v>
      </c>
      <c r="F133" s="382" t="s">
        <v>412</v>
      </c>
      <c r="G133" s="316">
        <v>250</v>
      </c>
      <c r="H133" s="530">
        <f>VLOOKUP(C133,COMPOSIÇÕES!A:J,6,FALSE)</f>
        <v>4.8</v>
      </c>
      <c r="I133" s="287">
        <f>COMPOSIÇÕES!$J$96</f>
        <v>5.7359999999999998</v>
      </c>
      <c r="J133" s="384">
        <f t="shared" si="11"/>
        <v>1434</v>
      </c>
    </row>
    <row r="134" spans="1:10" s="276" customFormat="1" ht="28.8">
      <c r="A134" s="263"/>
      <c r="B134" s="381" t="s">
        <v>1289</v>
      </c>
      <c r="C134" s="382">
        <v>91929</v>
      </c>
      <c r="D134" s="383" t="s">
        <v>2471</v>
      </c>
      <c r="E134" s="344" t="s">
        <v>774</v>
      </c>
      <c r="F134" s="382" t="s">
        <v>412</v>
      </c>
      <c r="G134" s="316">
        <v>1850</v>
      </c>
      <c r="H134" s="530">
        <f>VLOOKUP(C134,COMPOSIÇÕES!A:J,6,FALSE)</f>
        <v>6.92</v>
      </c>
      <c r="I134" s="287">
        <f>COMPOSIÇÕES!$J$97</f>
        <v>8.2693999999999992</v>
      </c>
      <c r="J134" s="384">
        <f t="shared" si="11"/>
        <v>15298.39</v>
      </c>
    </row>
    <row r="135" spans="1:10" s="276" customFormat="1" ht="28.8">
      <c r="A135" s="263"/>
      <c r="B135" s="381" t="s">
        <v>1290</v>
      </c>
      <c r="C135" s="382">
        <v>91929</v>
      </c>
      <c r="D135" s="383" t="s">
        <v>2471</v>
      </c>
      <c r="E135" s="344" t="s">
        <v>775</v>
      </c>
      <c r="F135" s="382" t="s">
        <v>412</v>
      </c>
      <c r="G135" s="316">
        <v>1850</v>
      </c>
      <c r="H135" s="530">
        <f>VLOOKUP(C135,COMPOSIÇÕES!A:J,6,FALSE)</f>
        <v>6.92</v>
      </c>
      <c r="I135" s="287">
        <f>COMPOSIÇÕES!$J$97</f>
        <v>8.2693999999999992</v>
      </c>
      <c r="J135" s="384">
        <f t="shared" si="11"/>
        <v>15298.39</v>
      </c>
    </row>
    <row r="136" spans="1:10" s="276" customFormat="1" ht="28.8">
      <c r="A136" s="263"/>
      <c r="B136" s="381" t="s">
        <v>1291</v>
      </c>
      <c r="C136" s="382">
        <v>91929</v>
      </c>
      <c r="D136" s="383" t="s">
        <v>2471</v>
      </c>
      <c r="E136" s="344" t="s">
        <v>835</v>
      </c>
      <c r="F136" s="382" t="s">
        <v>412</v>
      </c>
      <c r="G136" s="316">
        <v>1850</v>
      </c>
      <c r="H136" s="530">
        <f>VLOOKUP(C136,COMPOSIÇÕES!A:J,6,FALSE)</f>
        <v>6.92</v>
      </c>
      <c r="I136" s="287">
        <f>COMPOSIÇÕES!$J$97</f>
        <v>8.2693999999999992</v>
      </c>
      <c r="J136" s="384">
        <f t="shared" si="11"/>
        <v>15298.39</v>
      </c>
    </row>
    <row r="137" spans="1:10" s="276" customFormat="1" ht="28.8">
      <c r="A137" s="263"/>
      <c r="B137" s="381" t="s">
        <v>1292</v>
      </c>
      <c r="C137" s="382">
        <v>91929</v>
      </c>
      <c r="D137" s="383" t="s">
        <v>2471</v>
      </c>
      <c r="E137" s="344" t="s">
        <v>776</v>
      </c>
      <c r="F137" s="382" t="s">
        <v>412</v>
      </c>
      <c r="G137" s="316">
        <v>200</v>
      </c>
      <c r="H137" s="530">
        <f>VLOOKUP(C137,COMPOSIÇÕES!A:J,6,FALSE)</f>
        <v>6.92</v>
      </c>
      <c r="I137" s="287">
        <f>COMPOSIÇÕES!$J$97</f>
        <v>8.2693999999999992</v>
      </c>
      <c r="J137" s="384">
        <f t="shared" si="11"/>
        <v>1653.8799999999999</v>
      </c>
    </row>
    <row r="138" spans="1:10" s="276" customFormat="1" ht="28.8">
      <c r="A138" s="263"/>
      <c r="B138" s="381" t="s">
        <v>1293</v>
      </c>
      <c r="C138" s="382">
        <v>92994</v>
      </c>
      <c r="D138" s="383" t="s">
        <v>2471</v>
      </c>
      <c r="E138" s="344" t="s">
        <v>837</v>
      </c>
      <c r="F138" s="382" t="s">
        <v>412</v>
      </c>
      <c r="G138" s="316">
        <v>40</v>
      </c>
      <c r="H138" s="530">
        <f>VLOOKUP(C138,COMPOSIÇÕES!A:J,6,FALSE)</f>
        <v>105.42</v>
      </c>
      <c r="I138" s="287">
        <f>COMPOSIÇÕES!$J$143</f>
        <v>125.9769</v>
      </c>
      <c r="J138" s="384">
        <f t="shared" si="11"/>
        <v>5039.076</v>
      </c>
    </row>
    <row r="139" spans="1:10" s="276" customFormat="1" ht="28.8">
      <c r="A139" s="263"/>
      <c r="B139" s="381" t="s">
        <v>1294</v>
      </c>
      <c r="C139" s="382">
        <v>92994</v>
      </c>
      <c r="D139" s="383" t="s">
        <v>2471</v>
      </c>
      <c r="E139" s="344" t="s">
        <v>838</v>
      </c>
      <c r="F139" s="382" t="s">
        <v>412</v>
      </c>
      <c r="G139" s="316">
        <v>40</v>
      </c>
      <c r="H139" s="530">
        <f>VLOOKUP(C139,COMPOSIÇÕES!A:J,6,FALSE)</f>
        <v>105.42</v>
      </c>
      <c r="I139" s="287">
        <f>COMPOSIÇÕES!$J$143</f>
        <v>125.9769</v>
      </c>
      <c r="J139" s="384">
        <f t="shared" si="11"/>
        <v>5039.076</v>
      </c>
    </row>
    <row r="140" spans="1:10" s="276" customFormat="1" ht="28.8">
      <c r="A140" s="263"/>
      <c r="B140" s="381" t="s">
        <v>1295</v>
      </c>
      <c r="C140" s="382">
        <v>92994</v>
      </c>
      <c r="D140" s="383" t="s">
        <v>2471</v>
      </c>
      <c r="E140" s="344" t="s">
        <v>839</v>
      </c>
      <c r="F140" s="382" t="s">
        <v>412</v>
      </c>
      <c r="G140" s="316">
        <v>40</v>
      </c>
      <c r="H140" s="530">
        <f>VLOOKUP(C140,COMPOSIÇÕES!A:J,6,FALSE)</f>
        <v>105.42</v>
      </c>
      <c r="I140" s="287">
        <f>COMPOSIÇÕES!$J$143</f>
        <v>125.9769</v>
      </c>
      <c r="J140" s="384">
        <f t="shared" si="11"/>
        <v>5039.076</v>
      </c>
    </row>
    <row r="141" spans="1:10" s="276" customFormat="1" ht="28.8">
      <c r="A141" s="263"/>
      <c r="B141" s="381" t="s">
        <v>1296</v>
      </c>
      <c r="C141" s="382">
        <v>92994</v>
      </c>
      <c r="D141" s="383" t="s">
        <v>2471</v>
      </c>
      <c r="E141" s="344" t="s">
        <v>840</v>
      </c>
      <c r="F141" s="382" t="s">
        <v>412</v>
      </c>
      <c r="G141" s="316">
        <v>20</v>
      </c>
      <c r="H141" s="530">
        <f>VLOOKUP(C141,COMPOSIÇÕES!A:J,6,FALSE)</f>
        <v>105.42</v>
      </c>
      <c r="I141" s="287">
        <f>COMPOSIÇÕES!$J$143</f>
        <v>125.9769</v>
      </c>
      <c r="J141" s="384">
        <f t="shared" si="11"/>
        <v>2519.538</v>
      </c>
    </row>
    <row r="142" spans="1:10" s="276" customFormat="1" ht="28.8">
      <c r="A142" s="263"/>
      <c r="B142" s="381" t="s">
        <v>1297</v>
      </c>
      <c r="C142" s="382">
        <v>92994</v>
      </c>
      <c r="D142" s="383" t="s">
        <v>2471</v>
      </c>
      <c r="E142" s="344" t="s">
        <v>841</v>
      </c>
      <c r="F142" s="382" t="s">
        <v>412</v>
      </c>
      <c r="G142" s="316">
        <v>20</v>
      </c>
      <c r="H142" s="530">
        <f>VLOOKUP(C142,COMPOSIÇÕES!A:J,6,FALSE)</f>
        <v>105.42</v>
      </c>
      <c r="I142" s="287">
        <f>COMPOSIÇÕES!$J$143</f>
        <v>125.9769</v>
      </c>
      <c r="J142" s="384">
        <f t="shared" ref="J142:J145" si="12">G142*I142</f>
        <v>2519.538</v>
      </c>
    </row>
    <row r="143" spans="1:10" s="276" customFormat="1">
      <c r="A143" s="263"/>
      <c r="B143" s="381" t="s">
        <v>1298</v>
      </c>
      <c r="C143" s="382" t="s">
        <v>1242</v>
      </c>
      <c r="D143" s="383" t="s">
        <v>2474</v>
      </c>
      <c r="E143" s="476" t="s">
        <v>1243</v>
      </c>
      <c r="F143" s="382" t="s">
        <v>431</v>
      </c>
      <c r="G143" s="316">
        <v>6</v>
      </c>
      <c r="H143" s="530">
        <f>VLOOKUP(C143,COMPOSIÇÕES!A:J,6,FALSE)</f>
        <v>28.62</v>
      </c>
      <c r="I143" s="287">
        <f>COMPOSIÇÕES!$J$144</f>
        <v>34.200900000000004</v>
      </c>
      <c r="J143" s="384">
        <f t="shared" si="12"/>
        <v>205.20540000000003</v>
      </c>
    </row>
    <row r="144" spans="1:10" s="276" customFormat="1">
      <c r="A144" s="263"/>
      <c r="B144" s="381" t="s">
        <v>1299</v>
      </c>
      <c r="C144" s="382" t="s">
        <v>1245</v>
      </c>
      <c r="D144" s="383" t="str">
        <f>COMPOSIÇÕES!B145</f>
        <v>FDE - 07/2023</v>
      </c>
      <c r="E144" s="344" t="s">
        <v>870</v>
      </c>
      <c r="F144" s="382" t="s">
        <v>431</v>
      </c>
      <c r="G144" s="316">
        <v>15</v>
      </c>
      <c r="H144" s="530">
        <f>VLOOKUP(C144,COMPOSIÇÕES!A:J,6,FALSE)</f>
        <v>56.55</v>
      </c>
      <c r="I144" s="287">
        <f>COMPOSIÇÕES!$J$145</f>
        <v>67.577249999999992</v>
      </c>
      <c r="J144" s="384">
        <f t="shared" si="12"/>
        <v>1013.6587499999998</v>
      </c>
    </row>
    <row r="145" spans="1:10" s="263" customFormat="1" ht="72">
      <c r="B145" s="381" t="s">
        <v>1300</v>
      </c>
      <c r="C145" s="275" t="s">
        <v>711</v>
      </c>
      <c r="D145" s="277" t="s">
        <v>2476</v>
      </c>
      <c r="E145" s="278" t="s">
        <v>1035</v>
      </c>
      <c r="F145" s="275" t="s">
        <v>431</v>
      </c>
      <c r="G145" s="313">
        <v>1</v>
      </c>
      <c r="H145" s="301">
        <f>SUM(COMPOSIÇÕES!$G$141:$G$153)</f>
        <v>16287.101134728035</v>
      </c>
      <c r="I145" s="286">
        <f>COMPOSIÇÕES!$J$146</f>
        <v>19463.085856000002</v>
      </c>
      <c r="J145" s="295">
        <f t="shared" si="12"/>
        <v>19463.085856000002</v>
      </c>
    </row>
    <row r="146" spans="1:10" s="147" customFormat="1">
      <c r="B146" s="577" t="s">
        <v>547</v>
      </c>
      <c r="C146" s="578"/>
      <c r="D146" s="578"/>
      <c r="E146" s="578"/>
      <c r="F146" s="578"/>
      <c r="G146" s="578"/>
      <c r="H146" s="578"/>
      <c r="I146" s="578"/>
      <c r="J146" s="296">
        <f>SUM(J110:J145)</f>
        <v>153870.77020217886</v>
      </c>
    </row>
    <row r="147" spans="1:10" s="263" customFormat="1">
      <c r="B147" s="237" t="s">
        <v>548</v>
      </c>
      <c r="C147" s="238"/>
      <c r="D147" s="533"/>
      <c r="E147" s="239" t="s">
        <v>650</v>
      </c>
      <c r="F147" s="238"/>
      <c r="G147" s="312"/>
      <c r="H147" s="300"/>
      <c r="I147" s="285"/>
      <c r="J147" s="294"/>
    </row>
    <row r="148" spans="1:10" s="276" customFormat="1">
      <c r="A148" s="263"/>
      <c r="B148" s="381" t="s">
        <v>549</v>
      </c>
      <c r="C148" s="382" t="s">
        <v>708</v>
      </c>
      <c r="D148" s="383" t="str">
        <f>COMPOSIÇÕES!B115</f>
        <v>FDE - 07/2023</v>
      </c>
      <c r="E148" s="344" t="s">
        <v>651</v>
      </c>
      <c r="F148" s="382" t="s">
        <v>541</v>
      </c>
      <c r="G148" s="316">
        <v>100</v>
      </c>
      <c r="H148" s="290">
        <f>COMPOSIÇÕES!$G$116</f>
        <v>5.116260162601626</v>
      </c>
      <c r="I148" s="287">
        <f>COMPOSIÇÕES!$J$115</f>
        <v>6.1139308943089432</v>
      </c>
      <c r="J148" s="384">
        <f>G148*I148</f>
        <v>611.39308943089429</v>
      </c>
    </row>
    <row r="149" spans="1:10" s="263" customFormat="1">
      <c r="B149" s="577" t="s">
        <v>1303</v>
      </c>
      <c r="C149" s="578"/>
      <c r="D149" s="578"/>
      <c r="E149" s="578"/>
      <c r="F149" s="578"/>
      <c r="G149" s="578"/>
      <c r="H149" s="578"/>
      <c r="I149" s="578"/>
      <c r="J149" s="296">
        <f>J148</f>
        <v>611.39308943089429</v>
      </c>
    </row>
    <row r="150" spans="1:10" s="261" customFormat="1" ht="25.5" customHeight="1" thickBot="1">
      <c r="B150" s="564" t="s">
        <v>550</v>
      </c>
      <c r="C150" s="565"/>
      <c r="D150" s="565"/>
      <c r="E150" s="565"/>
      <c r="F150" s="565"/>
      <c r="G150" s="565"/>
      <c r="H150" s="565"/>
      <c r="I150" s="566"/>
      <c r="J150" s="297">
        <f>J86+J108+J146+J149</f>
        <v>274216.63096741971</v>
      </c>
    </row>
    <row r="151" spans="1:10" s="147" customFormat="1">
      <c r="B151" s="264" t="s">
        <v>450</v>
      </c>
      <c r="C151" s="265"/>
      <c r="D151" s="534"/>
      <c r="E151" s="266" t="s">
        <v>540</v>
      </c>
      <c r="F151" s="265"/>
      <c r="G151" s="310"/>
      <c r="H151" s="298"/>
      <c r="I151" s="283"/>
      <c r="J151" s="292"/>
    </row>
    <row r="152" spans="1:10" s="147" customFormat="1">
      <c r="B152" s="234"/>
      <c r="C152" s="235"/>
      <c r="D152" s="532"/>
      <c r="E152" s="236"/>
      <c r="F152" s="235"/>
      <c r="G152" s="311"/>
      <c r="H152" s="299"/>
      <c r="I152" s="284"/>
      <c r="J152" s="293"/>
    </row>
    <row r="153" spans="1:10" s="274" customFormat="1">
      <c r="B153" s="237" t="s">
        <v>452</v>
      </c>
      <c r="C153" s="238"/>
      <c r="D153" s="533"/>
      <c r="E153" s="239" t="s">
        <v>483</v>
      </c>
      <c r="F153" s="238"/>
      <c r="G153" s="312"/>
      <c r="H153" s="300"/>
      <c r="I153" s="285"/>
      <c r="J153" s="294"/>
    </row>
    <row r="154" spans="1:10" s="150" customFormat="1" ht="28.8">
      <c r="B154" s="381" t="s">
        <v>2425</v>
      </c>
      <c r="C154" s="382" t="s">
        <v>1130</v>
      </c>
      <c r="D154" s="535" t="str">
        <f>VLOOKUP(C154,COMPOSIÇÕES!A:J,2,FALSE)</f>
        <v>FDE - 07/2023</v>
      </c>
      <c r="E154" s="477" t="s">
        <v>1131</v>
      </c>
      <c r="F154" s="382" t="s">
        <v>541</v>
      </c>
      <c r="G154" s="316">
        <v>5</v>
      </c>
      <c r="H154" s="287">
        <f>COMPOSIÇÕES!$J$6</f>
        <v>407.8057</v>
      </c>
      <c r="I154" s="287">
        <f>H154+(H154*$J$4)</f>
        <v>487.3278115</v>
      </c>
      <c r="J154" s="384">
        <f>G154*I154</f>
        <v>2436.6390575</v>
      </c>
    </row>
    <row r="155" spans="1:10" s="150" customFormat="1" ht="33.75" customHeight="1">
      <c r="B155" s="381" t="s">
        <v>2426</v>
      </c>
      <c r="C155" s="382">
        <f t="shared" ref="C155:J155" si="13">C236</f>
        <v>37524</v>
      </c>
      <c r="D155" s="383" t="str">
        <f t="shared" si="13"/>
        <v>SINAPI SP - 08/2023</v>
      </c>
      <c r="E155" s="388" t="str">
        <f t="shared" si="13"/>
        <v>ISOLAMENTO DE OBRA COM TELA PLASTICA COM MALHA DE 5MM E ESTRUTURA DE MADEIRA PONTALETEADA</v>
      </c>
      <c r="F155" s="382" t="str">
        <f t="shared" si="13"/>
        <v>M²</v>
      </c>
      <c r="G155" s="316">
        <f t="shared" si="13"/>
        <v>40</v>
      </c>
      <c r="H155" s="287">
        <f t="shared" si="13"/>
        <v>2</v>
      </c>
      <c r="I155" s="287">
        <f t="shared" si="13"/>
        <v>2.39</v>
      </c>
      <c r="J155" s="384">
        <f t="shared" si="13"/>
        <v>95.600000000000009</v>
      </c>
    </row>
    <row r="156" spans="1:10" s="261" customFormat="1">
      <c r="B156" s="577" t="s">
        <v>560</v>
      </c>
      <c r="C156" s="578"/>
      <c r="D156" s="578"/>
      <c r="E156" s="578"/>
      <c r="F156" s="578"/>
      <c r="G156" s="578"/>
      <c r="H156" s="578"/>
      <c r="I156" s="578"/>
      <c r="J156" s="296">
        <f>SUM(J154:J155)</f>
        <v>2532.2390574999999</v>
      </c>
    </row>
    <row r="157" spans="1:10" s="147" customFormat="1">
      <c r="B157" s="237" t="s">
        <v>461</v>
      </c>
      <c r="C157" s="238"/>
      <c r="D157" s="533"/>
      <c r="E157" s="239" t="s">
        <v>525</v>
      </c>
      <c r="F157" s="238"/>
      <c r="G157" s="312"/>
      <c r="H157" s="300"/>
      <c r="I157" s="285"/>
      <c r="J157" s="294"/>
    </row>
    <row r="158" spans="1:10" s="276" customFormat="1" ht="28.8">
      <c r="B158" s="381" t="s">
        <v>416</v>
      </c>
      <c r="C158" s="382" t="s">
        <v>711</v>
      </c>
      <c r="D158" s="383" t="str">
        <f>COMPOSIÇÕES!B10</f>
        <v>SINAPI SP - 08/2023</v>
      </c>
      <c r="E158" s="487" t="s">
        <v>2404</v>
      </c>
      <c r="F158" s="382" t="s">
        <v>431</v>
      </c>
      <c r="G158" s="315">
        <v>51</v>
      </c>
      <c r="H158" s="290">
        <f>SUM(COMPOSIÇÕES!G11:G13)</f>
        <v>328.17395199999999</v>
      </c>
      <c r="I158" s="287">
        <f>COMPOSIÇÕES!J10</f>
        <v>392.16787263999993</v>
      </c>
      <c r="J158" s="384">
        <f t="shared" ref="J158" si="14">G158*I158</f>
        <v>20000.561504639998</v>
      </c>
    </row>
    <row r="159" spans="1:10" s="150" customFormat="1" ht="86.4">
      <c r="B159" s="381" t="s">
        <v>1304</v>
      </c>
      <c r="C159" s="382" t="s">
        <v>711</v>
      </c>
      <c r="D159" s="383" t="str">
        <f>COMPOSIÇÕES!B14</f>
        <v>SINAPI SP - 08/2023</v>
      </c>
      <c r="E159" s="344" t="s">
        <v>754</v>
      </c>
      <c r="F159" s="382" t="s">
        <v>412</v>
      </c>
      <c r="G159" s="315">
        <v>10</v>
      </c>
      <c r="H159" s="290">
        <f>SUM(COMPOSIÇÕES!$G$15:$G$17)</f>
        <v>36.0244</v>
      </c>
      <c r="I159" s="287">
        <f>COMPOSIÇÕES!$J$14</f>
        <v>44.530958000000005</v>
      </c>
      <c r="J159" s="384">
        <f t="shared" ref="J159:J172" si="15">G159*I159</f>
        <v>445.30958000000004</v>
      </c>
    </row>
    <row r="160" spans="1:10" s="150" customFormat="1" ht="86.4">
      <c r="B160" s="381" t="s">
        <v>1305</v>
      </c>
      <c r="C160" s="382" t="s">
        <v>711</v>
      </c>
      <c r="D160" s="383" t="str">
        <f>COMPOSIÇÕES!B19</f>
        <v>SINAPI SP - 08/2023</v>
      </c>
      <c r="E160" s="344" t="s">
        <v>755</v>
      </c>
      <c r="F160" s="382" t="s">
        <v>412</v>
      </c>
      <c r="G160" s="315">
        <v>6</v>
      </c>
      <c r="H160" s="290">
        <f>SUM(COMPOSIÇÕES!$G$20:$G$22)</f>
        <v>67.664999999999992</v>
      </c>
      <c r="I160" s="287">
        <f>COMPOSIÇÕES!$J$19</f>
        <v>82.735824999999991</v>
      </c>
      <c r="J160" s="384">
        <f t="shared" si="15"/>
        <v>496.41494999999998</v>
      </c>
    </row>
    <row r="161" spans="1:10" s="150" customFormat="1" ht="86.4">
      <c r="B161" s="381" t="s">
        <v>1306</v>
      </c>
      <c r="C161" s="382" t="s">
        <v>711</v>
      </c>
      <c r="D161" s="383" t="str">
        <f>COMPOSIÇÕES!B117</f>
        <v>SINAPI SP - 08/2023</v>
      </c>
      <c r="E161" s="344" t="s">
        <v>804</v>
      </c>
      <c r="F161" s="382" t="s">
        <v>412</v>
      </c>
      <c r="G161" s="315">
        <v>4</v>
      </c>
      <c r="H161" s="290">
        <f>SUM(COMPOSIÇÕES!$G$118:$G$120)</f>
        <v>92.086000000000013</v>
      </c>
      <c r="I161" s="287">
        <f>COMPOSIÇÕES!$J$117</f>
        <v>112.69806</v>
      </c>
      <c r="J161" s="384">
        <f t="shared" si="15"/>
        <v>450.79223999999999</v>
      </c>
    </row>
    <row r="162" spans="1:10" s="150" customFormat="1" ht="86.4">
      <c r="B162" s="381" t="s">
        <v>1307</v>
      </c>
      <c r="C162" s="382" t="s">
        <v>711</v>
      </c>
      <c r="D162" s="383" t="str">
        <f>COMPOSIÇÕES!B24</f>
        <v>SINAPI SP - 08/2023</v>
      </c>
      <c r="E162" s="344" t="s">
        <v>747</v>
      </c>
      <c r="F162" s="382" t="s">
        <v>412</v>
      </c>
      <c r="G162" s="315">
        <v>120</v>
      </c>
      <c r="H162" s="290">
        <f>SUM(COMPOSIÇÕES!$G$25:$G$27)</f>
        <v>51.792000000000002</v>
      </c>
      <c r="I162" s="287">
        <f>COMPOSIÇÕES!$J$24</f>
        <v>63.719789999999996</v>
      </c>
      <c r="J162" s="384">
        <f t="shared" si="15"/>
        <v>7646.3747999999996</v>
      </c>
    </row>
    <row r="163" spans="1:10" s="393" customFormat="1" ht="86.4">
      <c r="A163" s="150"/>
      <c r="B163" s="381" t="s">
        <v>1308</v>
      </c>
      <c r="C163" s="394" t="s">
        <v>711</v>
      </c>
      <c r="D163" s="389" t="str">
        <f>COMPOSIÇÕES!B29</f>
        <v xml:space="preserve">SINAPI SP - 08/2023 </v>
      </c>
      <c r="E163" s="395" t="s">
        <v>748</v>
      </c>
      <c r="F163" s="394" t="s">
        <v>412</v>
      </c>
      <c r="G163" s="315">
        <v>120</v>
      </c>
      <c r="H163" s="392">
        <f>SUM(COMPOSIÇÕES!$G$30:$G$32)</f>
        <v>82.828000000000003</v>
      </c>
      <c r="I163" s="396">
        <f>COMPOSIÇÕES!$J$29</f>
        <v>102.09840999999999</v>
      </c>
      <c r="J163" s="397">
        <f t="shared" si="15"/>
        <v>12251.809199999998</v>
      </c>
    </row>
    <row r="164" spans="1:10" s="150" customFormat="1" ht="28.8">
      <c r="A164" s="271"/>
      <c r="B164" s="381" t="s">
        <v>1309</v>
      </c>
      <c r="C164" s="383" t="str">
        <f>COMPOSIÇÕES!A8</f>
        <v>22.02.030</v>
      </c>
      <c r="D164" s="383" t="str">
        <f>COMPOSIÇÕES!B8</f>
        <v>CDHU - BOLETIM 191</v>
      </c>
      <c r="E164" s="388" t="str">
        <f>COMPOSIÇÕES!C8</f>
        <v>Forro em painéis de gesso acartonado, espessura de 12,5mm, fixo</v>
      </c>
      <c r="F164" s="383" t="str">
        <f>COMPOSIÇÕES!D8</f>
        <v>M²</v>
      </c>
      <c r="G164" s="315">
        <f>7.2*0.55*2*28</f>
        <v>221.76000000000002</v>
      </c>
      <c r="H164" s="287">
        <f>COMPOSIÇÕES!G9</f>
        <v>99.47</v>
      </c>
      <c r="I164" s="287">
        <f>COMPOSIÇÕES!J8</f>
        <v>118.86664999999999</v>
      </c>
      <c r="J164" s="397">
        <f t="shared" si="15"/>
        <v>26359.868304</v>
      </c>
    </row>
    <row r="165" spans="1:10" s="150" customFormat="1" ht="57.6">
      <c r="B165" s="381" t="s">
        <v>1310</v>
      </c>
      <c r="C165" s="382" t="s">
        <v>711</v>
      </c>
      <c r="D165" s="383" t="str">
        <f>COMPOSIÇÕES!B36</f>
        <v xml:space="preserve">SINAPI SP - 08/2023 </v>
      </c>
      <c r="E165" s="398" t="s">
        <v>756</v>
      </c>
      <c r="F165" s="382" t="s">
        <v>413</v>
      </c>
      <c r="G165" s="315">
        <v>641</v>
      </c>
      <c r="H165" s="287">
        <f>SUM(COMPOSIÇÕES!$G$37:$G$39)</f>
        <v>84.94</v>
      </c>
      <c r="I165" s="287">
        <f>COMPOSIÇÕES!$J$36</f>
        <v>101.5033</v>
      </c>
      <c r="J165" s="384">
        <f t="shared" si="15"/>
        <v>65063.615299999998</v>
      </c>
    </row>
    <row r="166" spans="1:10" s="335" customFormat="1" ht="28.8">
      <c r="A166" s="150"/>
      <c r="B166" s="381" t="s">
        <v>1311</v>
      </c>
      <c r="C166" s="382" t="s">
        <v>711</v>
      </c>
      <c r="D166" s="383" t="str">
        <f>COMPOSIÇÕES!B44</f>
        <v>CDHU - BOLETIM 191</v>
      </c>
      <c r="E166" s="388" t="s">
        <v>1042</v>
      </c>
      <c r="F166" s="382" t="s">
        <v>431</v>
      </c>
      <c r="G166" s="315">
        <v>22</v>
      </c>
      <c r="H166" s="287">
        <f>COMPOSIÇÕES!G45</f>
        <v>248.91654375000002</v>
      </c>
      <c r="I166" s="287">
        <f>COMPOSIÇÕES!$J$44</f>
        <v>297.45526978125002</v>
      </c>
      <c r="J166" s="384">
        <f t="shared" si="15"/>
        <v>6544.0159351875009</v>
      </c>
    </row>
    <row r="167" spans="1:10" s="335" customFormat="1" ht="28.8">
      <c r="A167" s="150"/>
      <c r="B167" s="381" t="s">
        <v>1312</v>
      </c>
      <c r="C167" s="382" t="s">
        <v>711</v>
      </c>
      <c r="D167" s="383" t="str">
        <f>COMPOSIÇÕES!B46</f>
        <v>CDHU - BOLETIM 191</v>
      </c>
      <c r="E167" s="388" t="s">
        <v>1043</v>
      </c>
      <c r="F167" s="382" t="s">
        <v>431</v>
      </c>
      <c r="G167" s="315">
        <v>4</v>
      </c>
      <c r="H167" s="287">
        <f>COMPOSIÇÕES!G47</f>
        <v>49.947131250000005</v>
      </c>
      <c r="I167" s="287">
        <f>COMPOSIÇÕES!$J$46</f>
        <v>59.68682184375001</v>
      </c>
      <c r="J167" s="384">
        <f t="shared" si="15"/>
        <v>238.74728737500004</v>
      </c>
    </row>
    <row r="168" spans="1:10" s="335" customFormat="1" ht="28.8">
      <c r="A168" s="150"/>
      <c r="B168" s="381" t="s">
        <v>1313</v>
      </c>
      <c r="C168" s="382" t="s">
        <v>711</v>
      </c>
      <c r="D168" s="383" t="str">
        <f>COMPOSIÇÕES!B48</f>
        <v>CDHU - BOLETIM 191</v>
      </c>
      <c r="E168" s="388" t="s">
        <v>1044</v>
      </c>
      <c r="F168" s="382" t="s">
        <v>431</v>
      </c>
      <c r="G168" s="315">
        <v>2</v>
      </c>
      <c r="H168" s="287">
        <f>COMPOSIÇÕES!G49</f>
        <v>82.875240000000005</v>
      </c>
      <c r="I168" s="287">
        <f>COMPOSIÇÕES!$J$48</f>
        <v>99.035911800000008</v>
      </c>
      <c r="J168" s="384">
        <f t="shared" si="15"/>
        <v>198.07182360000002</v>
      </c>
    </row>
    <row r="169" spans="1:10" s="150" customFormat="1" ht="28.8">
      <c r="B169" s="381" t="s">
        <v>1314</v>
      </c>
      <c r="C169" s="382" t="s">
        <v>711</v>
      </c>
      <c r="D169" s="383" t="str">
        <f>COMPOSIÇÕES!B122</f>
        <v>CDHU - BOLETIM 191</v>
      </c>
      <c r="E169" s="388" t="s">
        <v>809</v>
      </c>
      <c r="F169" s="382" t="s">
        <v>431</v>
      </c>
      <c r="G169" s="317">
        <v>22</v>
      </c>
      <c r="H169" s="287">
        <f>COMPOSIÇÕES!G123</f>
        <v>33.890000000000008</v>
      </c>
      <c r="I169" s="287">
        <f>COMPOSIÇÕES!$J$122</f>
        <v>40.498550000000009</v>
      </c>
      <c r="J169" s="384">
        <f t="shared" si="15"/>
        <v>890.96810000000016</v>
      </c>
    </row>
    <row r="170" spans="1:10" s="150" customFormat="1" ht="28.8">
      <c r="B170" s="381" t="s">
        <v>1315</v>
      </c>
      <c r="C170" s="382" t="s">
        <v>711</v>
      </c>
      <c r="D170" s="383" t="str">
        <f>COMPOSIÇÕES!B124</f>
        <v>CDHU - BOLETIM 191</v>
      </c>
      <c r="E170" s="388" t="s">
        <v>1119</v>
      </c>
      <c r="F170" s="382" t="s">
        <v>431</v>
      </c>
      <c r="G170" s="317">
        <v>4</v>
      </c>
      <c r="H170" s="287">
        <f>SUM(COMPOSIÇÕES!$G$125:$G$125)</f>
        <v>203.34</v>
      </c>
      <c r="I170" s="287">
        <f>COMPOSIÇÕES!$J$124</f>
        <v>242.9913</v>
      </c>
      <c r="J170" s="384">
        <f t="shared" si="15"/>
        <v>971.96519999999998</v>
      </c>
    </row>
    <row r="171" spans="1:10" s="150" customFormat="1" ht="28.8">
      <c r="B171" s="381" t="s">
        <v>1316</v>
      </c>
      <c r="C171" s="382" t="s">
        <v>711</v>
      </c>
      <c r="D171" s="383" t="str">
        <f>COMPOSIÇÕES!B56</f>
        <v>CDHU - BOLETIM 191</v>
      </c>
      <c r="E171" s="388" t="s">
        <v>1117</v>
      </c>
      <c r="F171" s="382" t="s">
        <v>431</v>
      </c>
      <c r="G171" s="315">
        <v>2</v>
      </c>
      <c r="H171" s="287">
        <f>COMPOSIÇÕES!G57</f>
        <v>16.945000000000004</v>
      </c>
      <c r="I171" s="287">
        <f>COMPOSIÇÕES!$J$56</f>
        <v>20.249275000000004</v>
      </c>
      <c r="J171" s="384">
        <f t="shared" si="15"/>
        <v>40.498550000000009</v>
      </c>
    </row>
    <row r="172" spans="1:10" s="150" customFormat="1" ht="28.8">
      <c r="A172" s="271"/>
      <c r="B172" s="381" t="s">
        <v>1317</v>
      </c>
      <c r="C172" s="382" t="s">
        <v>711</v>
      </c>
      <c r="D172" s="383" t="str">
        <f>COMPOSIÇÕES!B58</f>
        <v xml:space="preserve">SINAPI SP - 08/2023 </v>
      </c>
      <c r="E172" s="388" t="s">
        <v>758</v>
      </c>
      <c r="F172" s="382" t="s">
        <v>412</v>
      </c>
      <c r="G172" s="315">
        <v>195</v>
      </c>
      <c r="H172" s="287">
        <f>SUM(COMPOSIÇÕES!$G$60:$G$62)</f>
        <v>22.045999999999999</v>
      </c>
      <c r="I172" s="287">
        <f>COMPOSIÇÕES!$J$58</f>
        <v>37.641304999999996</v>
      </c>
      <c r="J172" s="384">
        <f t="shared" si="15"/>
        <v>7340.054474999999</v>
      </c>
    </row>
    <row r="173" spans="1:10" s="150" customFormat="1" ht="28.8">
      <c r="A173" s="271"/>
      <c r="B173" s="381" t="s">
        <v>1318</v>
      </c>
      <c r="C173" s="382" t="s">
        <v>711</v>
      </c>
      <c r="D173" s="383" t="str">
        <f>COMPOSIÇÕES!B64</f>
        <v>SINAPI SP - 08/2023</v>
      </c>
      <c r="E173" s="388" t="s">
        <v>697</v>
      </c>
      <c r="F173" s="382" t="s">
        <v>431</v>
      </c>
      <c r="G173" s="315">
        <v>51</v>
      </c>
      <c r="H173" s="287">
        <f>SUM(COMPOSIÇÕES!$G$65:$G$67)</f>
        <v>92.32</v>
      </c>
      <c r="I173" s="287">
        <f>COMPOSIÇÕES!$J$64</f>
        <v>110.32240000000002</v>
      </c>
      <c r="J173" s="384">
        <f t="shared" ref="J173:J177" si="16">I173*G173</f>
        <v>5626.4424000000008</v>
      </c>
    </row>
    <row r="174" spans="1:10" s="150" customFormat="1" ht="28.8">
      <c r="A174" s="271"/>
      <c r="B174" s="381" t="s">
        <v>1319</v>
      </c>
      <c r="C174" s="382" t="s">
        <v>711</v>
      </c>
      <c r="D174" s="383" t="str">
        <f>COMPOSIÇÕES!B68</f>
        <v xml:space="preserve">SINAPI SP - 08/2023 </v>
      </c>
      <c r="E174" s="388" t="s">
        <v>762</v>
      </c>
      <c r="F174" s="382" t="s">
        <v>415</v>
      </c>
      <c r="G174" s="315">
        <v>8</v>
      </c>
      <c r="H174" s="287">
        <f>SUM(COMPOSIÇÕES!$G$69:$G$70)</f>
        <v>58.91</v>
      </c>
      <c r="I174" s="287">
        <f>COMPOSIÇÕES!$J$68</f>
        <v>70.397449999999992</v>
      </c>
      <c r="J174" s="384">
        <f t="shared" si="16"/>
        <v>563.17959999999994</v>
      </c>
    </row>
    <row r="175" spans="1:10" s="150" customFormat="1" ht="28.8">
      <c r="A175" s="271"/>
      <c r="B175" s="381" t="s">
        <v>1320</v>
      </c>
      <c r="C175" s="399" t="s">
        <v>763</v>
      </c>
      <c r="D175" s="273" t="str">
        <f>COMPOSIÇÕES!B71</f>
        <v xml:space="preserve">SINAPI SP - 08/2023 </v>
      </c>
      <c r="E175" s="400" t="s">
        <v>761</v>
      </c>
      <c r="F175" s="273" t="s">
        <v>541</v>
      </c>
      <c r="G175" s="316">
        <v>2</v>
      </c>
      <c r="H175" s="287">
        <f>SUM(COMPOSIÇÕES!$G$72:$G$72)</f>
        <v>28.8</v>
      </c>
      <c r="I175" s="287">
        <f>COMPOSIÇÕES!$J$71</f>
        <v>34.416000000000004</v>
      </c>
      <c r="J175" s="384">
        <f t="shared" si="16"/>
        <v>68.832000000000008</v>
      </c>
    </row>
    <row r="176" spans="1:10" s="150" customFormat="1">
      <c r="A176" s="271"/>
      <c r="B176" s="381" t="s">
        <v>2427</v>
      </c>
      <c r="C176" s="399" t="s">
        <v>759</v>
      </c>
      <c r="D176" s="273" t="str">
        <f>COMPOSIÇÕES!B73</f>
        <v>FDE - 07/2023</v>
      </c>
      <c r="E176" s="400" t="s">
        <v>760</v>
      </c>
      <c r="F176" s="273" t="s">
        <v>701</v>
      </c>
      <c r="G176" s="316">
        <v>1</v>
      </c>
      <c r="H176" s="530">
        <f>VLOOKUP(C176,COMPOSIÇÕES!A:J,6,FALSE)</f>
        <v>38.485355648535567</v>
      </c>
      <c r="I176" s="287">
        <f>COMPOSIÇÕES!$J$73</f>
        <v>45.99</v>
      </c>
      <c r="J176" s="384">
        <f t="shared" si="16"/>
        <v>45.99</v>
      </c>
    </row>
    <row r="177" spans="1:10" s="150" customFormat="1">
      <c r="A177" s="271"/>
      <c r="B177" s="381" t="s">
        <v>2436</v>
      </c>
      <c r="C177" s="399" t="s">
        <v>764</v>
      </c>
      <c r="D177" s="273" t="str">
        <f>COMPOSIÇÕES!B74</f>
        <v>FDE - 07/2023</v>
      </c>
      <c r="E177" s="400" t="s">
        <v>765</v>
      </c>
      <c r="F177" s="273" t="s">
        <v>541</v>
      </c>
      <c r="G177" s="316">
        <v>3</v>
      </c>
      <c r="H177" s="530">
        <f>VLOOKUP(C177,COMPOSIÇÕES!A:J,6,FALSE)</f>
        <v>210.81171548117152</v>
      </c>
      <c r="I177" s="287">
        <f>COMPOSIÇÕES!$J$74</f>
        <v>251.91999999999996</v>
      </c>
      <c r="J177" s="384">
        <f t="shared" si="16"/>
        <v>755.75999999999988</v>
      </c>
    </row>
    <row r="178" spans="1:10" s="261" customFormat="1">
      <c r="B178" s="577" t="s">
        <v>562</v>
      </c>
      <c r="C178" s="578"/>
      <c r="D178" s="578"/>
      <c r="E178" s="578"/>
      <c r="F178" s="578"/>
      <c r="G178" s="578"/>
      <c r="H178" s="578"/>
      <c r="I178" s="578"/>
      <c r="J178" s="296">
        <f>SUM(J158:J177)</f>
        <v>155999.27124980249</v>
      </c>
    </row>
    <row r="179" spans="1:10" s="147" customFormat="1">
      <c r="B179" s="237" t="s">
        <v>542</v>
      </c>
      <c r="C179" s="238"/>
      <c r="D179" s="533"/>
      <c r="E179" s="239" t="s">
        <v>526</v>
      </c>
      <c r="F179" s="238"/>
      <c r="G179" s="312"/>
      <c r="H179" s="300"/>
      <c r="I179" s="285"/>
      <c r="J179" s="294"/>
    </row>
    <row r="180" spans="1:10" s="276" customFormat="1">
      <c r="A180" s="263"/>
      <c r="B180" s="381" t="s">
        <v>417</v>
      </c>
      <c r="C180" s="382" t="s">
        <v>711</v>
      </c>
      <c r="D180" s="383" t="str">
        <f>COMPOSIÇÕES!B75</f>
        <v>FDE - 07/2023</v>
      </c>
      <c r="E180" s="344" t="s">
        <v>745</v>
      </c>
      <c r="F180" s="382" t="s">
        <v>431</v>
      </c>
      <c r="G180" s="316">
        <v>100</v>
      </c>
      <c r="H180" s="290">
        <f>SUM(COMPOSIÇÕES!$G$76:$G$78)</f>
        <v>34.013252032520327</v>
      </c>
      <c r="I180" s="287">
        <f>COMPOSIÇÕES!$J$75</f>
        <v>40.645836178861792</v>
      </c>
      <c r="J180" s="384">
        <f t="shared" ref="J180:J200" si="17">G180*I180</f>
        <v>4064.5836178861791</v>
      </c>
    </row>
    <row r="181" spans="1:10" s="276" customFormat="1" ht="43.2">
      <c r="A181" s="263"/>
      <c r="B181" s="381" t="s">
        <v>418</v>
      </c>
      <c r="C181" s="382" t="s">
        <v>711</v>
      </c>
      <c r="D181" s="383" t="str">
        <f>COMPOSIÇÕES!B79</f>
        <v>FDE - 07/2023 + SINAPI SP - 08/2023</v>
      </c>
      <c r="E181" s="344" t="s">
        <v>742</v>
      </c>
      <c r="F181" s="382" t="s">
        <v>431</v>
      </c>
      <c r="G181" s="316">
        <v>12</v>
      </c>
      <c r="H181" s="290">
        <f>SUM(COMPOSIÇÕES!$G$80:$G$82)</f>
        <v>6.9960000000000004</v>
      </c>
      <c r="I181" s="287">
        <f>COMPOSIÇÕES!$J$79</f>
        <v>8.36022</v>
      </c>
      <c r="J181" s="384">
        <f t="shared" si="17"/>
        <v>100.32264000000001</v>
      </c>
    </row>
    <row r="182" spans="1:10" s="276" customFormat="1" ht="43.2">
      <c r="A182" s="263"/>
      <c r="B182" s="381" t="s">
        <v>419</v>
      </c>
      <c r="C182" s="382" t="s">
        <v>711</v>
      </c>
      <c r="D182" s="383" t="str">
        <f>COMPOSIÇÕES!B128</f>
        <v>FDE - 07/2023 + SINAPI SP - 08/2023</v>
      </c>
      <c r="E182" s="344" t="s">
        <v>812</v>
      </c>
      <c r="F182" s="382" t="s">
        <v>431</v>
      </c>
      <c r="G182" s="316">
        <v>12</v>
      </c>
      <c r="H182" s="290">
        <f>SUM(COMPOSIÇÕES!$G$129:$G$131)</f>
        <v>23.056000000000001</v>
      </c>
      <c r="I182" s="287">
        <f>COMPOSIÇÕES!$J$128</f>
        <v>27.551920000000003</v>
      </c>
      <c r="J182" s="384">
        <f t="shared" si="17"/>
        <v>330.62304000000006</v>
      </c>
    </row>
    <row r="183" spans="1:10" s="276" customFormat="1" ht="43.2">
      <c r="A183" s="263"/>
      <c r="B183" s="381" t="s">
        <v>420</v>
      </c>
      <c r="C183" s="382" t="s">
        <v>711</v>
      </c>
      <c r="D183" s="383" t="str">
        <f>COMPOSIÇÕES!B132</f>
        <v>FDE - 07/2023 + SINAPI SP - 08/2023</v>
      </c>
      <c r="E183" s="344" t="s">
        <v>813</v>
      </c>
      <c r="F183" s="382" t="s">
        <v>431</v>
      </c>
      <c r="G183" s="316">
        <v>3</v>
      </c>
      <c r="H183" s="290">
        <f>SUM(COMPOSIÇÕES!$G$133:$G$135)</f>
        <v>21.855999999999998</v>
      </c>
      <c r="I183" s="287">
        <f>COMPOSIÇÕES!$J$132</f>
        <v>26.117919999999998</v>
      </c>
      <c r="J183" s="384">
        <f t="shared" si="17"/>
        <v>78.353759999999994</v>
      </c>
    </row>
    <row r="184" spans="1:10" s="276" customFormat="1" ht="28.8">
      <c r="A184" s="263"/>
      <c r="B184" s="381" t="s">
        <v>421</v>
      </c>
      <c r="C184" s="382" t="s">
        <v>711</v>
      </c>
      <c r="D184" s="383" t="str">
        <f>COMPOSIÇÕES!B136</f>
        <v>FDE - 07/2023</v>
      </c>
      <c r="E184" s="344" t="s">
        <v>816</v>
      </c>
      <c r="F184" s="382" t="s">
        <v>431</v>
      </c>
      <c r="G184" s="316">
        <v>4</v>
      </c>
      <c r="H184" s="290">
        <f>SUM(COMPOSIÇÕES!$G$137:$G$139)</f>
        <v>28.625999999999998</v>
      </c>
      <c r="I184" s="287">
        <f>COMPOSIÇÕES!$J$136</f>
        <v>34.208069999999999</v>
      </c>
      <c r="J184" s="384">
        <f t="shared" si="17"/>
        <v>136.83228</v>
      </c>
    </row>
    <row r="185" spans="1:10" s="276" customFormat="1">
      <c r="A185" s="263"/>
      <c r="B185" s="381" t="s">
        <v>1321</v>
      </c>
      <c r="C185" s="382" t="s">
        <v>739</v>
      </c>
      <c r="D185" s="383" t="str">
        <f>COMPOSIÇÕES!B83</f>
        <v>FDE - 07/2023</v>
      </c>
      <c r="E185" s="344" t="s">
        <v>766</v>
      </c>
      <c r="F185" s="382" t="s">
        <v>431</v>
      </c>
      <c r="G185" s="316">
        <v>16</v>
      </c>
      <c r="H185" s="530">
        <f>VLOOKUP(C185,COMPOSIÇÕES!A:J,6,FALSE)</f>
        <v>32.35146443514644</v>
      </c>
      <c r="I185" s="287">
        <f>COMPOSIÇÕES!$J$83</f>
        <v>38.659999999999997</v>
      </c>
      <c r="J185" s="384">
        <f t="shared" si="17"/>
        <v>618.55999999999995</v>
      </c>
    </row>
    <row r="186" spans="1:10" s="276" customFormat="1">
      <c r="A186" s="263"/>
      <c r="B186" s="381" t="s">
        <v>1322</v>
      </c>
      <c r="C186" s="382" t="s">
        <v>739</v>
      </c>
      <c r="D186" s="383" t="str">
        <f>COMPOSIÇÕES!B83</f>
        <v>FDE - 07/2023</v>
      </c>
      <c r="E186" s="344" t="s">
        <v>767</v>
      </c>
      <c r="F186" s="382" t="s">
        <v>431</v>
      </c>
      <c r="G186" s="316">
        <v>16</v>
      </c>
      <c r="H186" s="530">
        <f>VLOOKUP(C186,COMPOSIÇÕES!A:J,6,FALSE)</f>
        <v>32.35146443514644</v>
      </c>
      <c r="I186" s="287">
        <f>COMPOSIÇÕES!$J$83</f>
        <v>38.659999999999997</v>
      </c>
      <c r="J186" s="384">
        <f t="shared" si="17"/>
        <v>618.55999999999995</v>
      </c>
    </row>
    <row r="187" spans="1:10" s="276" customFormat="1">
      <c r="A187" s="263"/>
      <c r="B187" s="381" t="s">
        <v>1323</v>
      </c>
      <c r="C187" s="382" t="s">
        <v>739</v>
      </c>
      <c r="D187" s="383" t="str">
        <f>COMPOSIÇÕES!B83</f>
        <v>FDE - 07/2023</v>
      </c>
      <c r="E187" s="344" t="s">
        <v>768</v>
      </c>
      <c r="F187" s="382" t="s">
        <v>431</v>
      </c>
      <c r="G187" s="316">
        <v>10</v>
      </c>
      <c r="H187" s="530">
        <f>VLOOKUP(C187,COMPOSIÇÕES!A:J,6,FALSE)</f>
        <v>32.35146443514644</v>
      </c>
      <c r="I187" s="287">
        <f>COMPOSIÇÕES!$J$83</f>
        <v>38.659999999999997</v>
      </c>
      <c r="J187" s="384">
        <f t="shared" si="17"/>
        <v>386.59999999999997</v>
      </c>
    </row>
    <row r="188" spans="1:10" s="276" customFormat="1">
      <c r="A188" s="263"/>
      <c r="B188" s="381" t="s">
        <v>1324</v>
      </c>
      <c r="C188" s="382" t="s">
        <v>738</v>
      </c>
      <c r="D188" s="383" t="str">
        <f>COMPOSIÇÕES!B84</f>
        <v>FDE - 07/2023</v>
      </c>
      <c r="E188" s="344" t="s">
        <v>818</v>
      </c>
      <c r="F188" s="382" t="s">
        <v>431</v>
      </c>
      <c r="G188" s="316">
        <v>8</v>
      </c>
      <c r="H188" s="530">
        <f>VLOOKUP(C188,COMPOSIÇÕES!A:J,6,FALSE)</f>
        <v>37.087866108786606</v>
      </c>
      <c r="I188" s="287">
        <f>COMPOSIÇÕES!$J$84</f>
        <v>44.319999999999993</v>
      </c>
      <c r="J188" s="384">
        <f t="shared" si="17"/>
        <v>354.55999999999995</v>
      </c>
    </row>
    <row r="189" spans="1:10" s="276" customFormat="1">
      <c r="A189" s="263"/>
      <c r="B189" s="381" t="s">
        <v>1325</v>
      </c>
      <c r="C189" s="382" t="s">
        <v>738</v>
      </c>
      <c r="D189" s="383" t="str">
        <f>COMPOSIÇÕES!B84</f>
        <v>FDE - 07/2023</v>
      </c>
      <c r="E189" s="344" t="s">
        <v>817</v>
      </c>
      <c r="F189" s="382" t="s">
        <v>431</v>
      </c>
      <c r="G189" s="316">
        <v>8</v>
      </c>
      <c r="H189" s="530">
        <f>VLOOKUP(C189,COMPOSIÇÕES!A:J,6,FALSE)</f>
        <v>37.087866108786606</v>
      </c>
      <c r="I189" s="287">
        <f>COMPOSIÇÕES!$J$84</f>
        <v>44.319999999999993</v>
      </c>
      <c r="J189" s="384">
        <f t="shared" si="17"/>
        <v>354.55999999999995</v>
      </c>
    </row>
    <row r="190" spans="1:10" s="276" customFormat="1">
      <c r="A190" s="263"/>
      <c r="B190" s="381" t="s">
        <v>1326</v>
      </c>
      <c r="C190" s="382" t="s">
        <v>738</v>
      </c>
      <c r="D190" s="383" t="str">
        <f>COMPOSIÇÕES!B84</f>
        <v>FDE - 07/2023</v>
      </c>
      <c r="E190" s="344" t="s">
        <v>769</v>
      </c>
      <c r="F190" s="382" t="s">
        <v>431</v>
      </c>
      <c r="G190" s="316">
        <v>20</v>
      </c>
      <c r="H190" s="530">
        <f>VLOOKUP(C190,COMPOSIÇÕES!A:J,6,FALSE)</f>
        <v>37.087866108786606</v>
      </c>
      <c r="I190" s="287">
        <f>COMPOSIÇÕES!$J$84</f>
        <v>44.319999999999993</v>
      </c>
      <c r="J190" s="384">
        <f t="shared" si="17"/>
        <v>886.39999999999986</v>
      </c>
    </row>
    <row r="191" spans="1:10" s="276" customFormat="1">
      <c r="A191" s="263"/>
      <c r="B191" s="381" t="s">
        <v>1327</v>
      </c>
      <c r="C191" s="382" t="s">
        <v>819</v>
      </c>
      <c r="D191" s="383" t="str">
        <f>COMPOSIÇÕES!B140</f>
        <v>FDE - 07/2023</v>
      </c>
      <c r="E191" s="344" t="s">
        <v>822</v>
      </c>
      <c r="F191" s="382" t="s">
        <v>431</v>
      </c>
      <c r="G191" s="316">
        <v>6</v>
      </c>
      <c r="H191" s="530">
        <f>COMPOSIÇÕES!F140</f>
        <v>68.63</v>
      </c>
      <c r="I191" s="287">
        <f>COMPOSIÇÕES!$J$140</f>
        <v>82.01285</v>
      </c>
      <c r="J191" s="384">
        <f t="shared" si="17"/>
        <v>492.07709999999997</v>
      </c>
    </row>
    <row r="192" spans="1:10" s="276" customFormat="1">
      <c r="A192" s="263"/>
      <c r="B192" s="381" t="s">
        <v>1328</v>
      </c>
      <c r="C192" s="382" t="s">
        <v>819</v>
      </c>
      <c r="D192" s="383" t="str">
        <f>COMPOSIÇÕES!B140</f>
        <v>FDE - 07/2023</v>
      </c>
      <c r="E192" s="344" t="s">
        <v>823</v>
      </c>
      <c r="F192" s="382" t="s">
        <v>431</v>
      </c>
      <c r="G192" s="316">
        <v>6</v>
      </c>
      <c r="H192" s="530">
        <f>COMPOSIÇÕES!F140</f>
        <v>68.63</v>
      </c>
      <c r="I192" s="287">
        <f>COMPOSIÇÕES!$J$140</f>
        <v>82.01285</v>
      </c>
      <c r="J192" s="384">
        <f t="shared" si="17"/>
        <v>492.07709999999997</v>
      </c>
    </row>
    <row r="193" spans="1:10" s="276" customFormat="1" ht="43.2">
      <c r="A193" s="263"/>
      <c r="B193" s="381" t="s">
        <v>1329</v>
      </c>
      <c r="C193" s="382" t="s">
        <v>711</v>
      </c>
      <c r="D193" s="383" t="str">
        <f>COMPOSIÇÕES!B85</f>
        <v>FDE - 07/2023 + SINAPI SP - 08/2023</v>
      </c>
      <c r="E193" s="344" t="s">
        <v>737</v>
      </c>
      <c r="F193" s="382" t="s">
        <v>431</v>
      </c>
      <c r="G193" s="316">
        <v>4</v>
      </c>
      <c r="H193" s="290">
        <f>SUM(COMPOSIÇÕES!$G$86:$G$87)</f>
        <v>32.4</v>
      </c>
      <c r="I193" s="287">
        <f>COMPOSIÇÕES!$J$85</f>
        <v>224.22980000000001</v>
      </c>
      <c r="J193" s="384">
        <f t="shared" si="17"/>
        <v>896.91920000000005</v>
      </c>
    </row>
    <row r="194" spans="1:10" s="276" customFormat="1">
      <c r="A194" s="263"/>
      <c r="B194" s="381" t="s">
        <v>1330</v>
      </c>
      <c r="C194" s="382" t="s">
        <v>735</v>
      </c>
      <c r="D194" s="383" t="str">
        <f>COMPOSIÇÕES!B89</f>
        <v>FDE - 07/2023</v>
      </c>
      <c r="E194" s="344" t="s">
        <v>736</v>
      </c>
      <c r="F194" s="382" t="s">
        <v>431</v>
      </c>
      <c r="G194" s="316">
        <v>175</v>
      </c>
      <c r="H194" s="530">
        <f>VLOOKUP(C194,COMPOSIÇÕES!A:J,6,FALSE)</f>
        <v>7.8158995815899575</v>
      </c>
      <c r="I194" s="287">
        <f>COMPOSIÇÕES!$J$89</f>
        <v>9.34</v>
      </c>
      <c r="J194" s="384">
        <f t="shared" si="17"/>
        <v>1634.5</v>
      </c>
    </row>
    <row r="195" spans="1:10" s="276" customFormat="1" ht="28.8">
      <c r="A195" s="263"/>
      <c r="B195" s="381" t="s">
        <v>1331</v>
      </c>
      <c r="C195" s="382" t="str">
        <f>COMPOSIÇÕES!A91</f>
        <v>38.21.920</v>
      </c>
      <c r="D195" s="383" t="str">
        <f>COMPOSIÇÕES!B91</f>
        <v>CDHU - BOLETIM 191</v>
      </c>
      <c r="E195" s="388" t="str">
        <f>COMPOSIÇÕES!C91</f>
        <v>Eletrocalha perfurada galvanizada a fogo, 100 x 50 mm, com acessórios</v>
      </c>
      <c r="F195" s="382" t="s">
        <v>412</v>
      </c>
      <c r="G195" s="316">
        <f>37*3</f>
        <v>111</v>
      </c>
      <c r="H195" s="530">
        <f>VLOOKUP(C195,COMPOSIÇÕES!A:J,6,FALSE)</f>
        <v>98.38</v>
      </c>
      <c r="I195" s="287">
        <f>COMPOSIÇÕES!J91</f>
        <v>117.5641</v>
      </c>
      <c r="J195" s="384">
        <f t="shared" si="17"/>
        <v>13049.615099999999</v>
      </c>
    </row>
    <row r="196" spans="1:10" s="276" customFormat="1" ht="28.8">
      <c r="A196" s="263"/>
      <c r="B196" s="381" t="s">
        <v>1332</v>
      </c>
      <c r="C196" s="382" t="str">
        <f>COMPOSIÇÕES!A141</f>
        <v>38.21.140</v>
      </c>
      <c r="D196" s="383" t="str">
        <f>COMPOSIÇÕES!B141</f>
        <v>CDHU - BOLETIM 191</v>
      </c>
      <c r="E196" s="388" t="str">
        <f>COMPOSIÇÕES!C141</f>
        <v>Eletrocalha lisa galvanizada a fogo, 200 x 50 mm, com acessórios</v>
      </c>
      <c r="F196" s="382" t="s">
        <v>412</v>
      </c>
      <c r="G196" s="316">
        <f>40*3</f>
        <v>120</v>
      </c>
      <c r="H196" s="530">
        <f>VLOOKUP(C196,COMPOSIÇÕES!A:J,6,FALSE)</f>
        <v>133.91999999999999</v>
      </c>
      <c r="I196" s="287">
        <f>COMPOSIÇÕES!$J$141</f>
        <v>160.03439999999998</v>
      </c>
      <c r="J196" s="384">
        <f t="shared" si="17"/>
        <v>19204.127999999997</v>
      </c>
    </row>
    <row r="197" spans="1:10" s="276" customFormat="1" ht="28.8">
      <c r="A197" s="263"/>
      <c r="B197" s="381" t="s">
        <v>1333</v>
      </c>
      <c r="C197" s="382" t="str">
        <f>COMPOSIÇÕES!A92</f>
        <v>38.06.040</v>
      </c>
      <c r="D197" s="383" t="str">
        <f>COMPOSIÇÕES!B92</f>
        <v>CDHU - BOLETIM 191</v>
      </c>
      <c r="E197" s="388" t="str">
        <f>COMPOSIÇÕES!C92</f>
        <v>Eletroduto galvanizado a quente conforme NBR5598 ‐ 3/4´ com acessórios</v>
      </c>
      <c r="F197" s="382" t="s">
        <v>412</v>
      </c>
      <c r="G197" s="316">
        <f>17*3</f>
        <v>51</v>
      </c>
      <c r="H197" s="530">
        <f>VLOOKUP(C197,COMPOSIÇÕES!A:J,6,FALSE)</f>
        <v>60.65</v>
      </c>
      <c r="I197" s="287">
        <f>COMPOSIÇÕES!$J$92</f>
        <v>72.476749999999996</v>
      </c>
      <c r="J197" s="384">
        <f t="shared" si="17"/>
        <v>3696.3142499999999</v>
      </c>
    </row>
    <row r="198" spans="1:10" s="276" customFormat="1" ht="28.8">
      <c r="A198" s="263"/>
      <c r="B198" s="381" t="s">
        <v>1334</v>
      </c>
      <c r="C198" s="382" t="str">
        <f>COMPOSIÇÕES!A93</f>
        <v>38.06.060</v>
      </c>
      <c r="D198" s="383" t="str">
        <f>COMPOSIÇÕES!B93</f>
        <v>CDHU - BOLETIM 191</v>
      </c>
      <c r="E198" s="388" t="str">
        <f>COMPOSIÇÕES!C93</f>
        <v>Eletroduto galvanizado a quente conforme NBR5598 ‐ 1´ com acessórios</v>
      </c>
      <c r="F198" s="382" t="s">
        <v>412</v>
      </c>
      <c r="G198" s="316">
        <f>35*3</f>
        <v>105</v>
      </c>
      <c r="H198" s="530">
        <f>VLOOKUP(C198,COMPOSIÇÕES!A:J,6,FALSE)</f>
        <v>75.38</v>
      </c>
      <c r="I198" s="287">
        <f>COMPOSIÇÕES!$J$93</f>
        <v>90.079099999999997</v>
      </c>
      <c r="J198" s="384">
        <f t="shared" si="17"/>
        <v>9458.3055000000004</v>
      </c>
    </row>
    <row r="199" spans="1:10" s="276" customFormat="1" ht="28.8">
      <c r="A199" s="263"/>
      <c r="B199" s="381" t="s">
        <v>1335</v>
      </c>
      <c r="C199" s="382" t="str">
        <f>COMPOSIÇÕES!A142</f>
        <v>38.06.100</v>
      </c>
      <c r="D199" s="383" t="str">
        <f>COMPOSIÇÕES!B142</f>
        <v>CDHU - BOLETIM 191</v>
      </c>
      <c r="E199" s="388" t="str">
        <f>COMPOSIÇÕES!C142</f>
        <v>Eletroduto galvanizado a quente conforme NBR5598 ‐ 1 1/2´ com
acessórios</v>
      </c>
      <c r="F199" s="382" t="s">
        <v>412</v>
      </c>
      <c r="G199" s="316">
        <f>14*3</f>
        <v>42</v>
      </c>
      <c r="H199" s="530">
        <f>VLOOKUP(C199,COMPOSIÇÕES!A:J,6,FALSE)</f>
        <v>111.35</v>
      </c>
      <c r="I199" s="287">
        <f>COMPOSIÇÕES!$J$142</f>
        <v>133.06324999999998</v>
      </c>
      <c r="J199" s="384">
        <f t="shared" si="17"/>
        <v>5588.6564999999991</v>
      </c>
    </row>
    <row r="200" spans="1:10" s="276" customFormat="1" ht="28.8">
      <c r="A200" s="263"/>
      <c r="B200" s="381" t="s">
        <v>1336</v>
      </c>
      <c r="C200" s="382" t="str">
        <f>COMPOSIÇÕES!A94</f>
        <v>38.06.180</v>
      </c>
      <c r="D200" s="383" t="str">
        <f>COMPOSIÇÕES!B94</f>
        <v>CDHU - BOLETIM 191</v>
      </c>
      <c r="E200" s="388" t="str">
        <f>COMPOSIÇÕES!C94</f>
        <v>Eletroduto galvanizado a quente conforme NBR5598 ‐ 4´ com acessórios</v>
      </c>
      <c r="F200" s="382" t="s">
        <v>412</v>
      </c>
      <c r="G200" s="316">
        <v>20</v>
      </c>
      <c r="H200" s="530">
        <f>VLOOKUP(C200,COMPOSIÇÕES!A:J,6,FALSE)</f>
        <v>305.01</v>
      </c>
      <c r="I200" s="287">
        <f>COMPOSIÇÕES!$J$94</f>
        <v>364.48694999999998</v>
      </c>
      <c r="J200" s="384">
        <f t="shared" si="17"/>
        <v>7289.7389999999996</v>
      </c>
    </row>
    <row r="201" spans="1:10" s="276" customFormat="1" ht="28.8">
      <c r="A201" s="263"/>
      <c r="B201" s="381" t="s">
        <v>1337</v>
      </c>
      <c r="C201" s="382">
        <v>91927</v>
      </c>
      <c r="D201" s="383" t="str">
        <f>COMPOSIÇÕES!B96</f>
        <v>SINAPI SP - 08/2023</v>
      </c>
      <c r="E201" s="344" t="s">
        <v>770</v>
      </c>
      <c r="F201" s="382" t="s">
        <v>412</v>
      </c>
      <c r="G201" s="316">
        <v>1650</v>
      </c>
      <c r="H201" s="530">
        <f>VLOOKUP(C201,COMPOSIÇÕES!A:J,6,FALSE)</f>
        <v>4.8</v>
      </c>
      <c r="I201" s="287">
        <f>COMPOSIÇÕES!$J$96</f>
        <v>5.7359999999999998</v>
      </c>
      <c r="J201" s="384">
        <f t="shared" ref="J201:J212" si="18">G201*I201</f>
        <v>9464.4</v>
      </c>
    </row>
    <row r="202" spans="1:10" s="276" customFormat="1" ht="28.8">
      <c r="A202" s="263"/>
      <c r="B202" s="381" t="s">
        <v>1338</v>
      </c>
      <c r="C202" s="382">
        <v>91927</v>
      </c>
      <c r="D202" s="535" t="str">
        <f>VLOOKUP(C202,COMPOSIÇÕES!A:J,2,FALSE)</f>
        <v>SINAPI SP - 08/2023</v>
      </c>
      <c r="E202" s="344" t="s">
        <v>771</v>
      </c>
      <c r="F202" s="382" t="s">
        <v>412</v>
      </c>
      <c r="G202" s="316">
        <v>1650</v>
      </c>
      <c r="H202" s="530">
        <f>VLOOKUP(C202,COMPOSIÇÕES!A:J,6,FALSE)</f>
        <v>4.8</v>
      </c>
      <c r="I202" s="287">
        <f>COMPOSIÇÕES!$J$96</f>
        <v>5.7359999999999998</v>
      </c>
      <c r="J202" s="384">
        <f t="shared" si="18"/>
        <v>9464.4</v>
      </c>
    </row>
    <row r="203" spans="1:10" s="276" customFormat="1" ht="28.8">
      <c r="A203" s="263"/>
      <c r="B203" s="381" t="s">
        <v>1339</v>
      </c>
      <c r="C203" s="382">
        <v>91927</v>
      </c>
      <c r="D203" s="535" t="str">
        <f>VLOOKUP(C203,COMPOSIÇÕES!A:J,2,FALSE)</f>
        <v>SINAPI SP - 08/2023</v>
      </c>
      <c r="E203" s="344" t="s">
        <v>772</v>
      </c>
      <c r="F203" s="382" t="s">
        <v>412</v>
      </c>
      <c r="G203" s="316">
        <v>1650</v>
      </c>
      <c r="H203" s="530">
        <f>VLOOKUP(C203,COMPOSIÇÕES!A:J,6,FALSE)</f>
        <v>4.8</v>
      </c>
      <c r="I203" s="287">
        <f>COMPOSIÇÕES!$J$96</f>
        <v>5.7359999999999998</v>
      </c>
      <c r="J203" s="384">
        <f t="shared" si="18"/>
        <v>9464.4</v>
      </c>
    </row>
    <row r="204" spans="1:10" s="276" customFormat="1" ht="28.8">
      <c r="A204" s="263"/>
      <c r="B204" s="381" t="s">
        <v>1340</v>
      </c>
      <c r="C204" s="382">
        <v>91927</v>
      </c>
      <c r="D204" s="535" t="str">
        <f>VLOOKUP(C204,COMPOSIÇÕES!A:J,2,FALSE)</f>
        <v>SINAPI SP - 08/2023</v>
      </c>
      <c r="E204" s="344" t="s">
        <v>773</v>
      </c>
      <c r="F204" s="382" t="s">
        <v>412</v>
      </c>
      <c r="G204" s="316">
        <v>200</v>
      </c>
      <c r="H204" s="530">
        <f>VLOOKUP(C204,COMPOSIÇÕES!A:J,6,FALSE)</f>
        <v>4.8</v>
      </c>
      <c r="I204" s="287">
        <f>COMPOSIÇÕES!$J$96</f>
        <v>5.7359999999999998</v>
      </c>
      <c r="J204" s="384">
        <f t="shared" si="18"/>
        <v>1147.2</v>
      </c>
    </row>
    <row r="205" spans="1:10" s="276" customFormat="1" ht="28.8">
      <c r="A205" s="263"/>
      <c r="B205" s="381" t="s">
        <v>1341</v>
      </c>
      <c r="C205" s="382">
        <v>91929</v>
      </c>
      <c r="D205" s="535" t="str">
        <f>VLOOKUP(C205,COMPOSIÇÕES!A:J,2,FALSE)</f>
        <v>SINAPI SP - 08/2023</v>
      </c>
      <c r="E205" s="344" t="s">
        <v>774</v>
      </c>
      <c r="F205" s="382" t="s">
        <v>412</v>
      </c>
      <c r="G205" s="316">
        <v>2800</v>
      </c>
      <c r="H205" s="530">
        <f>VLOOKUP(C205,COMPOSIÇÕES!A:J,6,FALSE)</f>
        <v>6.92</v>
      </c>
      <c r="I205" s="287">
        <f>COMPOSIÇÕES!$J$97</f>
        <v>8.2693999999999992</v>
      </c>
      <c r="J205" s="384">
        <f t="shared" si="18"/>
        <v>23154.319999999996</v>
      </c>
    </row>
    <row r="206" spans="1:10" s="276" customFormat="1" ht="28.8">
      <c r="A206" s="263"/>
      <c r="B206" s="381" t="s">
        <v>1342</v>
      </c>
      <c r="C206" s="382">
        <v>91929</v>
      </c>
      <c r="D206" s="383" t="str">
        <f>COMPOSIÇÕES!B97</f>
        <v>SINAPI SP - 08/2023</v>
      </c>
      <c r="E206" s="344" t="s">
        <v>775</v>
      </c>
      <c r="F206" s="382" t="s">
        <v>412</v>
      </c>
      <c r="G206" s="316">
        <v>2800</v>
      </c>
      <c r="H206" s="530">
        <f>VLOOKUP(C206,COMPOSIÇÕES!A:J,6,FALSE)</f>
        <v>6.92</v>
      </c>
      <c r="I206" s="287">
        <f>COMPOSIÇÕES!$J$97</f>
        <v>8.2693999999999992</v>
      </c>
      <c r="J206" s="384">
        <f t="shared" si="18"/>
        <v>23154.319999999996</v>
      </c>
    </row>
    <row r="207" spans="1:10" s="276" customFormat="1" ht="28.8">
      <c r="A207" s="263"/>
      <c r="B207" s="381" t="s">
        <v>1343</v>
      </c>
      <c r="C207" s="382">
        <v>91929</v>
      </c>
      <c r="D207" s="535" t="str">
        <f>VLOOKUP(C207,COMPOSIÇÕES!A:J,2,FALSE)</f>
        <v>SINAPI SP - 08/2023</v>
      </c>
      <c r="E207" s="344" t="s">
        <v>835</v>
      </c>
      <c r="F207" s="382" t="s">
        <v>412</v>
      </c>
      <c r="G207" s="316">
        <v>2800</v>
      </c>
      <c r="H207" s="530">
        <f>VLOOKUP(C207,COMPOSIÇÕES!A:J,6,FALSE)</f>
        <v>6.92</v>
      </c>
      <c r="I207" s="287">
        <f>COMPOSIÇÕES!$J$97</f>
        <v>8.2693999999999992</v>
      </c>
      <c r="J207" s="384">
        <f t="shared" si="18"/>
        <v>23154.319999999996</v>
      </c>
    </row>
    <row r="208" spans="1:10" s="276" customFormat="1" ht="28.8">
      <c r="A208" s="263"/>
      <c r="B208" s="381" t="s">
        <v>1344</v>
      </c>
      <c r="C208" s="382">
        <v>91929</v>
      </c>
      <c r="D208" s="535" t="str">
        <f>VLOOKUP(C208,COMPOSIÇÕES!A:J,2,FALSE)</f>
        <v>SINAPI SP - 08/2023</v>
      </c>
      <c r="E208" s="344" t="s">
        <v>776</v>
      </c>
      <c r="F208" s="382" t="s">
        <v>412</v>
      </c>
      <c r="G208" s="316">
        <v>200</v>
      </c>
      <c r="H208" s="530">
        <f>VLOOKUP(C208,COMPOSIÇÕES!A:J,6,FALSE)</f>
        <v>6.92</v>
      </c>
      <c r="I208" s="287">
        <f>COMPOSIÇÕES!$J$97</f>
        <v>8.2693999999999992</v>
      </c>
      <c r="J208" s="384">
        <f t="shared" si="18"/>
        <v>1653.8799999999999</v>
      </c>
    </row>
    <row r="209" spans="1:10" s="276" customFormat="1" ht="28.8">
      <c r="A209" s="263"/>
      <c r="B209" s="381" t="s">
        <v>1345</v>
      </c>
      <c r="C209" s="382">
        <v>91930</v>
      </c>
      <c r="D209" s="535" t="str">
        <f>VLOOKUP(C209,COMPOSIÇÕES!A:J,2,FALSE)</f>
        <v>SINAPI SP - 08/2023</v>
      </c>
      <c r="E209" s="344" t="s">
        <v>843</v>
      </c>
      <c r="F209" s="382" t="s">
        <v>412</v>
      </c>
      <c r="G209" s="316">
        <v>720</v>
      </c>
      <c r="H209" s="530">
        <f>VLOOKUP(C209,COMPOSIÇÕES!A:J,6,FALSE)</f>
        <v>9.06</v>
      </c>
      <c r="I209" s="287">
        <f>COMPOSIÇÕES!$J$154</f>
        <v>10.826700000000001</v>
      </c>
      <c r="J209" s="384">
        <f t="shared" si="18"/>
        <v>7795.2240000000002</v>
      </c>
    </row>
    <row r="210" spans="1:10" s="276" customFormat="1" ht="28.8">
      <c r="A210" s="263"/>
      <c r="B210" s="381" t="s">
        <v>1346</v>
      </c>
      <c r="C210" s="382">
        <v>91930</v>
      </c>
      <c r="D210" s="535" t="str">
        <f>VLOOKUP(C210,COMPOSIÇÕES!A:J,2,FALSE)</f>
        <v>SINAPI SP - 08/2023</v>
      </c>
      <c r="E210" s="344" t="s">
        <v>844</v>
      </c>
      <c r="F210" s="382" t="s">
        <v>412</v>
      </c>
      <c r="G210" s="316">
        <v>720</v>
      </c>
      <c r="H210" s="530">
        <f>VLOOKUP(C210,COMPOSIÇÕES!A:J,6,FALSE)</f>
        <v>9.06</v>
      </c>
      <c r="I210" s="287">
        <f>COMPOSIÇÕES!$J$154</f>
        <v>10.826700000000001</v>
      </c>
      <c r="J210" s="384">
        <f t="shared" si="18"/>
        <v>7795.2240000000002</v>
      </c>
    </row>
    <row r="211" spans="1:10" s="276" customFormat="1" ht="28.8">
      <c r="A211" s="263"/>
      <c r="B211" s="381" t="s">
        <v>1347</v>
      </c>
      <c r="C211" s="382">
        <v>91930</v>
      </c>
      <c r="D211" s="383" t="str">
        <f>COMPOSIÇÕES!B98</f>
        <v>SINAPI SP - 08/2023</v>
      </c>
      <c r="E211" s="344" t="s">
        <v>845</v>
      </c>
      <c r="F211" s="382" t="s">
        <v>412</v>
      </c>
      <c r="G211" s="316">
        <v>720</v>
      </c>
      <c r="H211" s="530">
        <f>VLOOKUP(C211,COMPOSIÇÕES!A:J,6,FALSE)</f>
        <v>9.06</v>
      </c>
      <c r="I211" s="287">
        <f>COMPOSIÇÕES!$J$154</f>
        <v>10.826700000000001</v>
      </c>
      <c r="J211" s="384">
        <f t="shared" si="18"/>
        <v>7795.2240000000002</v>
      </c>
    </row>
    <row r="212" spans="1:10" s="276" customFormat="1" ht="28.8">
      <c r="A212" s="263"/>
      <c r="B212" s="381" t="s">
        <v>1348</v>
      </c>
      <c r="C212" s="382">
        <v>91930</v>
      </c>
      <c r="D212" s="535" t="str">
        <f>VLOOKUP(C212,COMPOSIÇÕES!A:J,2,FALSE)</f>
        <v>SINAPI SP - 08/2023</v>
      </c>
      <c r="E212" s="344" t="s">
        <v>846</v>
      </c>
      <c r="F212" s="382" t="s">
        <v>412</v>
      </c>
      <c r="G212" s="316">
        <v>200</v>
      </c>
      <c r="H212" s="530">
        <f>VLOOKUP(C212,COMPOSIÇÕES!A:J,6,FALSE)</f>
        <v>9.06</v>
      </c>
      <c r="I212" s="287">
        <f>COMPOSIÇÕES!$J$154</f>
        <v>10.826700000000001</v>
      </c>
      <c r="J212" s="384">
        <f t="shared" si="18"/>
        <v>2165.34</v>
      </c>
    </row>
    <row r="213" spans="1:10" s="276" customFormat="1" ht="28.8">
      <c r="A213" s="263"/>
      <c r="B213" s="381" t="s">
        <v>1349</v>
      </c>
      <c r="C213" s="382">
        <v>92984</v>
      </c>
      <c r="D213" s="535" t="str">
        <f>VLOOKUP(C213,COMPOSIÇÕES!A:J,2,FALSE)</f>
        <v>SINAPI SP - 08/2023</v>
      </c>
      <c r="E213" s="344" t="s">
        <v>777</v>
      </c>
      <c r="F213" s="382" t="s">
        <v>412</v>
      </c>
      <c r="G213" s="316">
        <v>10</v>
      </c>
      <c r="H213" s="530">
        <f>VLOOKUP(C213,COMPOSIÇÕES!A:J,6,FALSE)</f>
        <v>23.65</v>
      </c>
      <c r="I213" s="287">
        <f>COMPOSIÇÕES!$J$98</f>
        <v>28.261749999999999</v>
      </c>
      <c r="J213" s="384">
        <f t="shared" ref="J213:J226" si="19">G213*I213</f>
        <v>282.61750000000001</v>
      </c>
    </row>
    <row r="214" spans="1:10" s="276" customFormat="1" ht="28.8">
      <c r="A214" s="263"/>
      <c r="B214" s="381" t="s">
        <v>1350</v>
      </c>
      <c r="C214" s="382">
        <v>92988</v>
      </c>
      <c r="D214" s="535" t="str">
        <f>VLOOKUP(C214,COMPOSIÇÕES!A:J,2,FALSE)</f>
        <v>SINAPI SP - 08/2023</v>
      </c>
      <c r="E214" s="344" t="s">
        <v>778</v>
      </c>
      <c r="F214" s="382" t="s">
        <v>412</v>
      </c>
      <c r="G214" s="316">
        <v>10</v>
      </c>
      <c r="H214" s="530">
        <f>VLOOKUP(C214,COMPOSIÇÕES!A:J,6,FALSE)</f>
        <v>46.05</v>
      </c>
      <c r="I214" s="287">
        <f>COMPOSIÇÕES!$J$99</f>
        <v>55.029749999999993</v>
      </c>
      <c r="J214" s="384">
        <f t="shared" si="19"/>
        <v>550.2974999999999</v>
      </c>
    </row>
    <row r="215" spans="1:10" s="276" customFormat="1" ht="28.8">
      <c r="A215" s="263"/>
      <c r="B215" s="381" t="s">
        <v>1351</v>
      </c>
      <c r="C215" s="382">
        <v>92988</v>
      </c>
      <c r="D215" s="535" t="str">
        <f>VLOOKUP(C215,COMPOSIÇÕES!A:J,2,FALSE)</f>
        <v>SINAPI SP - 08/2023</v>
      </c>
      <c r="E215" s="344" t="s">
        <v>779</v>
      </c>
      <c r="F215" s="382" t="s">
        <v>412</v>
      </c>
      <c r="G215" s="316">
        <v>10</v>
      </c>
      <c r="H215" s="530">
        <f>VLOOKUP(C215,COMPOSIÇÕES!A:J,6,FALSE)</f>
        <v>46.05</v>
      </c>
      <c r="I215" s="287">
        <f>COMPOSIÇÕES!$J$99</f>
        <v>55.029749999999993</v>
      </c>
      <c r="J215" s="384">
        <f t="shared" si="19"/>
        <v>550.2974999999999</v>
      </c>
    </row>
    <row r="216" spans="1:10" s="276" customFormat="1" ht="28.8">
      <c r="A216" s="263"/>
      <c r="B216" s="381" t="s">
        <v>1352</v>
      </c>
      <c r="C216" s="382">
        <v>92988</v>
      </c>
      <c r="D216" s="383" t="str">
        <f>COMPOSIÇÕES!B99</f>
        <v>SINAPI SP - 08/2023</v>
      </c>
      <c r="E216" s="344" t="s">
        <v>780</v>
      </c>
      <c r="F216" s="382" t="s">
        <v>412</v>
      </c>
      <c r="G216" s="316">
        <v>10</v>
      </c>
      <c r="H216" s="530">
        <f>VLOOKUP(C216,COMPOSIÇÕES!A:J,6,FALSE)</f>
        <v>46.05</v>
      </c>
      <c r="I216" s="287">
        <f>COMPOSIÇÕES!$J$99</f>
        <v>55.029749999999993</v>
      </c>
      <c r="J216" s="384">
        <f t="shared" si="19"/>
        <v>550.2974999999999</v>
      </c>
    </row>
    <row r="217" spans="1:10" s="276" customFormat="1" ht="28.8">
      <c r="A217" s="263"/>
      <c r="B217" s="381" t="s">
        <v>1353</v>
      </c>
      <c r="C217" s="382">
        <v>92988</v>
      </c>
      <c r="D217" s="535" t="str">
        <f>VLOOKUP(C217,COMPOSIÇÕES!A:J,2,FALSE)</f>
        <v>SINAPI SP - 08/2023</v>
      </c>
      <c r="E217" s="344" t="s">
        <v>847</v>
      </c>
      <c r="F217" s="382" t="s">
        <v>412</v>
      </c>
      <c r="G217" s="316">
        <v>10</v>
      </c>
      <c r="H217" s="530">
        <f>VLOOKUP(C217,COMPOSIÇÕES!A:J,6,FALSE)</f>
        <v>46.05</v>
      </c>
      <c r="I217" s="287">
        <f>COMPOSIÇÕES!$J$99</f>
        <v>55.029749999999993</v>
      </c>
      <c r="J217" s="384">
        <f t="shared" si="19"/>
        <v>550.2974999999999</v>
      </c>
    </row>
    <row r="218" spans="1:10" s="276" customFormat="1" ht="28.8">
      <c r="A218" s="263"/>
      <c r="B218" s="381" t="s">
        <v>1354</v>
      </c>
      <c r="C218" s="382">
        <v>92994</v>
      </c>
      <c r="D218" s="535" t="str">
        <f>VLOOKUP(C218,COMPOSIÇÕES!A:J,2,FALSE)</f>
        <v>SINAPI SP - 08/2023</v>
      </c>
      <c r="E218" s="344" t="s">
        <v>837</v>
      </c>
      <c r="F218" s="382" t="s">
        <v>412</v>
      </c>
      <c r="G218" s="316">
        <v>140</v>
      </c>
      <c r="H218" s="530">
        <f>VLOOKUP(C218,COMPOSIÇÕES!A:J,6,FALSE)</f>
        <v>105.42</v>
      </c>
      <c r="I218" s="287">
        <f>COMPOSIÇÕES!$J$143</f>
        <v>125.9769</v>
      </c>
      <c r="J218" s="384">
        <f t="shared" si="19"/>
        <v>17636.766</v>
      </c>
    </row>
    <row r="219" spans="1:10" s="276" customFormat="1" ht="28.8">
      <c r="A219" s="263"/>
      <c r="B219" s="381" t="s">
        <v>1355</v>
      </c>
      <c r="C219" s="382">
        <v>92994</v>
      </c>
      <c r="D219" s="535" t="str">
        <f>VLOOKUP(C219,COMPOSIÇÕES!A:J,2,FALSE)</f>
        <v>SINAPI SP - 08/2023</v>
      </c>
      <c r="E219" s="344" t="s">
        <v>838</v>
      </c>
      <c r="F219" s="382" t="s">
        <v>412</v>
      </c>
      <c r="G219" s="316">
        <v>140</v>
      </c>
      <c r="H219" s="530">
        <f>VLOOKUP(C219,COMPOSIÇÕES!A:J,6,FALSE)</f>
        <v>105.42</v>
      </c>
      <c r="I219" s="287">
        <f>COMPOSIÇÕES!$J$143</f>
        <v>125.9769</v>
      </c>
      <c r="J219" s="384">
        <f t="shared" si="19"/>
        <v>17636.766</v>
      </c>
    </row>
    <row r="220" spans="1:10" s="276" customFormat="1" ht="28.8">
      <c r="A220" s="263"/>
      <c r="B220" s="381" t="s">
        <v>1356</v>
      </c>
      <c r="C220" s="382">
        <v>92994</v>
      </c>
      <c r="D220" s="535" t="str">
        <f>VLOOKUP(C220,COMPOSIÇÕES!A:J,2,FALSE)</f>
        <v>SINAPI SP - 08/2023</v>
      </c>
      <c r="E220" s="344" t="s">
        <v>839</v>
      </c>
      <c r="F220" s="382" t="s">
        <v>412</v>
      </c>
      <c r="G220" s="316">
        <v>140</v>
      </c>
      <c r="H220" s="530">
        <f>VLOOKUP(C220,COMPOSIÇÕES!A:J,6,FALSE)</f>
        <v>105.42</v>
      </c>
      <c r="I220" s="287">
        <f>COMPOSIÇÕES!$J$143</f>
        <v>125.9769</v>
      </c>
      <c r="J220" s="384">
        <f t="shared" si="19"/>
        <v>17636.766</v>
      </c>
    </row>
    <row r="221" spans="1:10" s="276" customFormat="1" ht="28.8">
      <c r="A221" s="263"/>
      <c r="B221" s="381" t="s">
        <v>1357</v>
      </c>
      <c r="C221" s="382">
        <v>92994</v>
      </c>
      <c r="D221" s="383" t="str">
        <f>COMPOSIÇÕES!B100</f>
        <v>SINAPI SP - 08/2023</v>
      </c>
      <c r="E221" s="344" t="s">
        <v>840</v>
      </c>
      <c r="F221" s="382" t="s">
        <v>412</v>
      </c>
      <c r="G221" s="316">
        <v>70</v>
      </c>
      <c r="H221" s="530">
        <f>VLOOKUP(C221,COMPOSIÇÕES!A:J,6,FALSE)</f>
        <v>105.42</v>
      </c>
      <c r="I221" s="287">
        <f>COMPOSIÇÕES!$J$143</f>
        <v>125.9769</v>
      </c>
      <c r="J221" s="384">
        <f t="shared" si="19"/>
        <v>8818.3829999999998</v>
      </c>
    </row>
    <row r="222" spans="1:10" s="276" customFormat="1" ht="28.8">
      <c r="A222" s="263"/>
      <c r="B222" s="381" t="s">
        <v>1358</v>
      </c>
      <c r="C222" s="382">
        <v>92994</v>
      </c>
      <c r="D222" s="535" t="str">
        <f>VLOOKUP(C222,COMPOSIÇÕES!A:J,2,FALSE)</f>
        <v>SINAPI SP - 08/2023</v>
      </c>
      <c r="E222" s="344" t="s">
        <v>841</v>
      </c>
      <c r="F222" s="382" t="s">
        <v>412</v>
      </c>
      <c r="G222" s="316">
        <v>70</v>
      </c>
      <c r="H222" s="530">
        <f>VLOOKUP(C222,COMPOSIÇÕES!A:J,6,FALSE)</f>
        <v>105.42</v>
      </c>
      <c r="I222" s="287">
        <f>COMPOSIÇÕES!$J$143</f>
        <v>125.9769</v>
      </c>
      <c r="J222" s="384">
        <f t="shared" si="19"/>
        <v>8818.3829999999998</v>
      </c>
    </row>
    <row r="223" spans="1:10" s="276" customFormat="1">
      <c r="A223" s="263"/>
      <c r="B223" s="381" t="s">
        <v>1359</v>
      </c>
      <c r="C223" s="382" t="s">
        <v>711</v>
      </c>
      <c r="D223" s="383" t="str">
        <f>COMPOSIÇÕES!B103</f>
        <v>FDE - 07/2023</v>
      </c>
      <c r="E223" s="344" t="s">
        <v>732</v>
      </c>
      <c r="F223" s="382" t="s">
        <v>431</v>
      </c>
      <c r="G223" s="316">
        <v>6</v>
      </c>
      <c r="H223" s="530">
        <f>COMPOSIÇÕES!F103</f>
        <v>22.98</v>
      </c>
      <c r="I223" s="287">
        <f>COMPOSIÇÕES!$J$103</f>
        <v>27.461100000000002</v>
      </c>
      <c r="J223" s="384">
        <f t="shared" si="19"/>
        <v>164.76660000000001</v>
      </c>
    </row>
    <row r="224" spans="1:10" s="276" customFormat="1">
      <c r="A224" s="263"/>
      <c r="B224" s="381" t="s">
        <v>1360</v>
      </c>
      <c r="C224" s="382" t="s">
        <v>711</v>
      </c>
      <c r="D224" s="383" t="s">
        <v>2474</v>
      </c>
      <c r="E224" s="344" t="s">
        <v>731</v>
      </c>
      <c r="F224" s="382" t="s">
        <v>431</v>
      </c>
      <c r="G224" s="316">
        <v>18</v>
      </c>
      <c r="H224" s="530">
        <f>COMPOSIÇÕES!F104</f>
        <v>34.06</v>
      </c>
      <c r="I224" s="287">
        <f>COMPOSIÇÕES!$J$104</f>
        <v>40.701700000000002</v>
      </c>
      <c r="J224" s="384">
        <f t="shared" si="19"/>
        <v>732.63060000000007</v>
      </c>
    </row>
    <row r="225" spans="1:10" s="276" customFormat="1">
      <c r="A225" s="263"/>
      <c r="B225" s="381" t="s">
        <v>1361</v>
      </c>
      <c r="C225" s="382" t="s">
        <v>711</v>
      </c>
      <c r="D225" s="383" t="s">
        <v>2474</v>
      </c>
      <c r="E225" s="344" t="s">
        <v>870</v>
      </c>
      <c r="F225" s="382" t="s">
        <v>431</v>
      </c>
      <c r="G225" s="316">
        <v>15</v>
      </c>
      <c r="H225" s="530">
        <f>COMPOSIÇÕES!F145</f>
        <v>56.55</v>
      </c>
      <c r="I225" s="287">
        <f>COMPOSIÇÕES!$J$145</f>
        <v>67.577249999999992</v>
      </c>
      <c r="J225" s="384">
        <f t="shared" si="19"/>
        <v>1013.6587499999998</v>
      </c>
    </row>
    <row r="226" spans="1:10" s="263" customFormat="1">
      <c r="B226" s="381" t="s">
        <v>1362</v>
      </c>
      <c r="C226" s="275" t="s">
        <v>711</v>
      </c>
      <c r="D226" s="277" t="s">
        <v>2474</v>
      </c>
      <c r="E226" s="278" t="s">
        <v>1036</v>
      </c>
      <c r="F226" s="275" t="s">
        <v>431</v>
      </c>
      <c r="G226" s="313">
        <v>1</v>
      </c>
      <c r="H226" s="301">
        <f>SUM(COMPOSIÇÕES!G156:G162)</f>
        <v>17852.879963179916</v>
      </c>
      <c r="I226" s="286">
        <f>COMPOSIÇÕES!$J$155</f>
        <v>21334.191556000002</v>
      </c>
      <c r="J226" s="295">
        <f t="shared" si="19"/>
        <v>21334.191556000002</v>
      </c>
    </row>
    <row r="227" spans="1:10" s="147" customFormat="1">
      <c r="B227" s="577" t="s">
        <v>561</v>
      </c>
      <c r="C227" s="578"/>
      <c r="D227" s="578"/>
      <c r="E227" s="578"/>
      <c r="F227" s="578"/>
      <c r="G227" s="578"/>
      <c r="H227" s="578"/>
      <c r="I227" s="578"/>
      <c r="J227" s="296">
        <f>SUM(J180:J226)</f>
        <v>292216.65809388598</v>
      </c>
    </row>
    <row r="228" spans="1:10" s="263" customFormat="1">
      <c r="B228" s="237" t="s">
        <v>544</v>
      </c>
      <c r="C228" s="238"/>
      <c r="D228" s="533"/>
      <c r="E228" s="239" t="s">
        <v>650</v>
      </c>
      <c r="F228" s="238"/>
      <c r="G228" s="312"/>
      <c r="H228" s="300"/>
      <c r="I228" s="285"/>
      <c r="J228" s="294"/>
    </row>
    <row r="229" spans="1:10" s="276" customFormat="1">
      <c r="A229" s="263"/>
      <c r="B229" s="381" t="s">
        <v>559</v>
      </c>
      <c r="C229" s="382" t="s">
        <v>708</v>
      </c>
      <c r="D229" s="383" t="str">
        <f>COMPOSIÇÕES!B115</f>
        <v>FDE - 07/2023</v>
      </c>
      <c r="E229" s="344" t="s">
        <v>651</v>
      </c>
      <c r="F229" s="382" t="s">
        <v>541</v>
      </c>
      <c r="G229" s="316">
        <v>100</v>
      </c>
      <c r="H229" s="290">
        <f>COMPOSIÇÕES!$G$116</f>
        <v>5.116260162601626</v>
      </c>
      <c r="I229" s="287">
        <f>COMPOSIÇÕES!$J$115</f>
        <v>6.1139308943089432</v>
      </c>
      <c r="J229" s="384">
        <f>G229*I229</f>
        <v>611.39308943089429</v>
      </c>
    </row>
    <row r="230" spans="1:10" s="263" customFormat="1">
      <c r="B230" s="577" t="s">
        <v>652</v>
      </c>
      <c r="C230" s="578"/>
      <c r="D230" s="578"/>
      <c r="E230" s="578"/>
      <c r="F230" s="578"/>
      <c r="G230" s="578"/>
      <c r="H230" s="578"/>
      <c r="I230" s="578"/>
      <c r="J230" s="296">
        <f>J229</f>
        <v>611.39308943089429</v>
      </c>
    </row>
    <row r="231" spans="1:10" s="261" customFormat="1" ht="25.5" customHeight="1" thickBot="1">
      <c r="B231" s="564" t="s">
        <v>563</v>
      </c>
      <c r="C231" s="565"/>
      <c r="D231" s="565"/>
      <c r="E231" s="565"/>
      <c r="F231" s="565"/>
      <c r="G231" s="565"/>
      <c r="H231" s="565"/>
      <c r="I231" s="566"/>
      <c r="J231" s="297">
        <f>J156+J178+J227+J230</f>
        <v>451359.56149061932</v>
      </c>
    </row>
    <row r="232" spans="1:10" s="147" customFormat="1">
      <c r="B232" s="264" t="s">
        <v>479</v>
      </c>
      <c r="C232" s="265"/>
      <c r="D232" s="534"/>
      <c r="E232" s="266" t="s">
        <v>489</v>
      </c>
      <c r="F232" s="265"/>
      <c r="G232" s="310"/>
      <c r="H232" s="298"/>
      <c r="I232" s="283"/>
      <c r="J232" s="292"/>
    </row>
    <row r="233" spans="1:10" s="147" customFormat="1" ht="6" customHeight="1">
      <c r="B233" s="234"/>
      <c r="C233" s="235"/>
      <c r="D233" s="532"/>
      <c r="E233" s="236"/>
      <c r="F233" s="235"/>
      <c r="G233" s="311"/>
      <c r="H233" s="299"/>
      <c r="I233" s="284"/>
      <c r="J233" s="293"/>
    </row>
    <row r="234" spans="1:10" s="261" customFormat="1">
      <c r="B234" s="237" t="s">
        <v>487</v>
      </c>
      <c r="C234" s="238"/>
      <c r="D234" s="533"/>
      <c r="E234" s="239" t="s">
        <v>483</v>
      </c>
      <c r="F234" s="238"/>
      <c r="G234" s="312"/>
      <c r="H234" s="300"/>
      <c r="I234" s="285"/>
      <c r="J234" s="294"/>
    </row>
    <row r="235" spans="1:10" s="150" customFormat="1" ht="28.8">
      <c r="B235" s="381" t="s">
        <v>423</v>
      </c>
      <c r="C235" s="382" t="s">
        <v>1130</v>
      </c>
      <c r="D235" s="317" t="str">
        <f>COMPOSIÇÕES!B6</f>
        <v>FDE - 07/2023</v>
      </c>
      <c r="E235" s="477" t="s">
        <v>1131</v>
      </c>
      <c r="F235" s="382" t="s">
        <v>541</v>
      </c>
      <c r="G235" s="316">
        <v>5</v>
      </c>
      <c r="H235" s="287">
        <f>COMPOSIÇÕES!$J$6</f>
        <v>407.8057</v>
      </c>
      <c r="I235" s="287">
        <f>H235+(H235*$J$4)</f>
        <v>487.3278115</v>
      </c>
      <c r="J235" s="384">
        <f>G235*I235</f>
        <v>2436.6390575</v>
      </c>
    </row>
    <row r="236" spans="1:10" s="150" customFormat="1" ht="33.75" customHeight="1">
      <c r="B236" s="381" t="s">
        <v>793</v>
      </c>
      <c r="C236" s="382">
        <f t="shared" ref="C236:J236" si="20">C299</f>
        <v>37524</v>
      </c>
      <c r="D236" s="383" t="str">
        <f t="shared" si="20"/>
        <v>SINAPI SP - 08/2023</v>
      </c>
      <c r="E236" s="388" t="str">
        <f t="shared" si="20"/>
        <v>ISOLAMENTO DE OBRA COM TELA PLASTICA COM MALHA DE 5MM E ESTRUTURA DE MADEIRA PONTALETEADA</v>
      </c>
      <c r="F236" s="382" t="str">
        <f t="shared" si="20"/>
        <v>M²</v>
      </c>
      <c r="G236" s="316">
        <f t="shared" si="20"/>
        <v>40</v>
      </c>
      <c r="H236" s="287">
        <f t="shared" si="20"/>
        <v>2</v>
      </c>
      <c r="I236" s="287">
        <f t="shared" si="20"/>
        <v>2.39</v>
      </c>
      <c r="J236" s="384">
        <f t="shared" si="20"/>
        <v>95.600000000000009</v>
      </c>
    </row>
    <row r="237" spans="1:10" s="261" customFormat="1">
      <c r="B237" s="577" t="s">
        <v>565</v>
      </c>
      <c r="C237" s="578"/>
      <c r="D237" s="578"/>
      <c r="E237" s="578"/>
      <c r="F237" s="578"/>
      <c r="G237" s="578"/>
      <c r="H237" s="578"/>
      <c r="I237" s="578"/>
      <c r="J237" s="296">
        <f>SUM(J235:J236)</f>
        <v>2532.2390574999999</v>
      </c>
    </row>
    <row r="238" spans="1:10" s="147" customFormat="1">
      <c r="B238" s="237" t="s">
        <v>488</v>
      </c>
      <c r="C238" s="238"/>
      <c r="D238" s="533"/>
      <c r="E238" s="239" t="s">
        <v>525</v>
      </c>
      <c r="F238" s="238"/>
      <c r="G238" s="312"/>
      <c r="H238" s="300"/>
      <c r="I238" s="285"/>
      <c r="J238" s="294"/>
    </row>
    <row r="239" spans="1:10" s="276" customFormat="1" ht="28.8">
      <c r="B239" s="381" t="s">
        <v>424</v>
      </c>
      <c r="C239" s="382" t="s">
        <v>711</v>
      </c>
      <c r="D239" s="383" t="str">
        <f>COMPOSIÇÕES!B10</f>
        <v>SINAPI SP - 08/2023</v>
      </c>
      <c r="E239" s="487" t="s">
        <v>2404</v>
      </c>
      <c r="F239" s="382" t="s">
        <v>431</v>
      </c>
      <c r="G239" s="315">
        <v>22</v>
      </c>
      <c r="H239" s="290">
        <f>SUM(COMPOSIÇÕES!G11:G13)</f>
        <v>328.17395199999999</v>
      </c>
      <c r="I239" s="287">
        <f>COMPOSIÇÕES!J10</f>
        <v>392.16787263999993</v>
      </c>
      <c r="J239" s="384">
        <f t="shared" ref="J239" si="21">G239*I239</f>
        <v>8627.6931980799982</v>
      </c>
    </row>
    <row r="240" spans="1:10" s="150" customFormat="1" ht="86.4">
      <c r="B240" s="381" t="s">
        <v>1365</v>
      </c>
      <c r="C240" s="382" t="s">
        <v>711</v>
      </c>
      <c r="D240" s="383" t="str">
        <f>COMPOSIÇÕES!B14</f>
        <v>SINAPI SP - 08/2023</v>
      </c>
      <c r="E240" s="344" t="s">
        <v>754</v>
      </c>
      <c r="F240" s="382" t="s">
        <v>412</v>
      </c>
      <c r="G240" s="315">
        <v>10</v>
      </c>
      <c r="H240" s="290">
        <f>SUM(COMPOSIÇÕES!G15:G18)</f>
        <v>37.264400000000002</v>
      </c>
      <c r="I240" s="287">
        <f>COMPOSIÇÕES!$J$14</f>
        <v>44.530958000000005</v>
      </c>
      <c r="J240" s="384">
        <f t="shared" ref="J240:J253" si="22">G240*I240</f>
        <v>445.30958000000004</v>
      </c>
    </row>
    <row r="241" spans="1:10" s="150" customFormat="1" ht="86.4">
      <c r="B241" s="381" t="s">
        <v>1366</v>
      </c>
      <c r="C241" s="382" t="s">
        <v>711</v>
      </c>
      <c r="D241" s="383" t="str">
        <f>COMPOSIÇÕES!B15</f>
        <v xml:space="preserve">SINAPI SP - 08/2023 </v>
      </c>
      <c r="E241" s="344" t="s">
        <v>755</v>
      </c>
      <c r="F241" s="382" t="s">
        <v>412</v>
      </c>
      <c r="G241" s="315">
        <v>2</v>
      </c>
      <c r="H241" s="290">
        <f>SUM(COMPOSIÇÕES!G20:G23)</f>
        <v>69.234999999999985</v>
      </c>
      <c r="I241" s="287">
        <f>COMPOSIÇÕES!$J$19</f>
        <v>82.735824999999991</v>
      </c>
      <c r="J241" s="384">
        <f t="shared" si="22"/>
        <v>165.47164999999998</v>
      </c>
    </row>
    <row r="242" spans="1:10" s="150" customFormat="1" ht="86.4">
      <c r="B242" s="381" t="s">
        <v>1367</v>
      </c>
      <c r="C242" s="382" t="s">
        <v>711</v>
      </c>
      <c r="D242" s="383" t="str">
        <f>COMPOSIÇÕES!B16</f>
        <v xml:space="preserve">SINAPI SP - 08/2023 </v>
      </c>
      <c r="E242" s="344" t="s">
        <v>804</v>
      </c>
      <c r="F242" s="382" t="s">
        <v>412</v>
      </c>
      <c r="G242" s="315">
        <v>8</v>
      </c>
      <c r="H242" s="290">
        <f>SUM(COMPOSIÇÕES!G118:G121)</f>
        <v>94.308000000000007</v>
      </c>
      <c r="I242" s="287">
        <f>COMPOSIÇÕES!$J$117</f>
        <v>112.69806</v>
      </c>
      <c r="J242" s="384">
        <f t="shared" si="22"/>
        <v>901.58447999999999</v>
      </c>
    </row>
    <row r="243" spans="1:10" s="150" customFormat="1" ht="86.4">
      <c r="B243" s="381" t="s">
        <v>1368</v>
      </c>
      <c r="C243" s="382" t="s">
        <v>711</v>
      </c>
      <c r="D243" s="383" t="str">
        <f>COMPOSIÇÕES!B17</f>
        <v xml:space="preserve">SINAPI SP - 08/2023 </v>
      </c>
      <c r="E243" s="344" t="s">
        <v>747</v>
      </c>
      <c r="F243" s="382" t="s">
        <v>412</v>
      </c>
      <c r="G243" s="315">
        <v>34</v>
      </c>
      <c r="H243" s="290">
        <f>SUM(COMPOSIÇÕES!G25:G28)</f>
        <v>53.322000000000003</v>
      </c>
      <c r="I243" s="287">
        <f>COMPOSIÇÕES!$J$24</f>
        <v>63.719789999999996</v>
      </c>
      <c r="J243" s="384">
        <f t="shared" si="22"/>
        <v>2166.4728599999999</v>
      </c>
    </row>
    <row r="244" spans="1:10" s="393" customFormat="1" ht="86.4">
      <c r="A244" s="150"/>
      <c r="B244" s="381" t="s">
        <v>1369</v>
      </c>
      <c r="C244" s="394" t="s">
        <v>711</v>
      </c>
      <c r="D244" s="383" t="str">
        <f>COMPOSIÇÕES!B18</f>
        <v xml:space="preserve">SINAPI SP - 08/2023 </v>
      </c>
      <c r="E244" s="395" t="s">
        <v>748</v>
      </c>
      <c r="F244" s="394" t="s">
        <v>412</v>
      </c>
      <c r="G244" s="315">
        <v>34</v>
      </c>
      <c r="H244" s="392">
        <f>SUM(COMPOSIÇÕES!G30:G33)</f>
        <v>85.438000000000002</v>
      </c>
      <c r="I244" s="396">
        <f>COMPOSIÇÕES!$J$29</f>
        <v>102.09840999999999</v>
      </c>
      <c r="J244" s="397">
        <f t="shared" si="22"/>
        <v>3471.3459399999997</v>
      </c>
    </row>
    <row r="245" spans="1:10" s="393" customFormat="1" ht="28.8">
      <c r="A245" s="150"/>
      <c r="B245" s="381" t="s">
        <v>1370</v>
      </c>
      <c r="C245" s="394" t="str">
        <f>COMPOSIÇÕES!A8</f>
        <v>22.02.030</v>
      </c>
      <c r="D245" s="389" t="str">
        <f>COMPOSIÇÕES!$B8</f>
        <v>CDHU - BOLETIM 191</v>
      </c>
      <c r="E245" s="489" t="str">
        <f>COMPOSIÇÕES!$C8</f>
        <v>Forro em painéis de gesso acartonado, espessura de 12,5mm, fixo</v>
      </c>
      <c r="F245" s="394" t="str">
        <f>COMPOSIÇÕES!$D8</f>
        <v>M²</v>
      </c>
      <c r="G245" s="315">
        <f>5.4*0.55*2*11</f>
        <v>65.340000000000018</v>
      </c>
      <c r="H245" s="392">
        <f>COMPOSIÇÕES!$G9</f>
        <v>99.47</v>
      </c>
      <c r="I245" s="396">
        <f>COMPOSIÇÕES!$J8</f>
        <v>118.86664999999999</v>
      </c>
      <c r="J245" s="397">
        <f t="shared" si="22"/>
        <v>7766.746911000002</v>
      </c>
    </row>
    <row r="246" spans="1:10" s="150" customFormat="1" ht="57.6">
      <c r="B246" s="381" t="s">
        <v>1371</v>
      </c>
      <c r="C246" s="382" t="s">
        <v>711</v>
      </c>
      <c r="D246" s="383" t="str">
        <f>COMPOSIÇÕES!B36</f>
        <v xml:space="preserve">SINAPI SP - 08/2023 </v>
      </c>
      <c r="E246" s="398" t="s">
        <v>756</v>
      </c>
      <c r="F246" s="382" t="s">
        <v>413</v>
      </c>
      <c r="G246" s="315">
        <v>490</v>
      </c>
      <c r="H246" s="287">
        <f>SUM(COMPOSIÇÕES!$G$37:$G$38)</f>
        <v>75</v>
      </c>
      <c r="I246" s="287">
        <f>COMPOSIÇÕES!$J$36</f>
        <v>101.5033</v>
      </c>
      <c r="J246" s="384">
        <f t="shared" si="22"/>
        <v>49736.616999999998</v>
      </c>
    </row>
    <row r="247" spans="1:10" s="335" customFormat="1" ht="28.8">
      <c r="A247" s="150"/>
      <c r="B247" s="381" t="s">
        <v>1372</v>
      </c>
      <c r="C247" s="382" t="s">
        <v>711</v>
      </c>
      <c r="D247" s="383" t="str">
        <f>COMPOSIÇÕES!B44</f>
        <v>CDHU - BOLETIM 191</v>
      </c>
      <c r="E247" s="388" t="s">
        <v>1042</v>
      </c>
      <c r="F247" s="382" t="s">
        <v>431</v>
      </c>
      <c r="G247" s="315">
        <v>9</v>
      </c>
      <c r="H247" s="287">
        <f>COMPOSIÇÕES!G45</f>
        <v>248.91654375000002</v>
      </c>
      <c r="I247" s="287">
        <f>COMPOSIÇÕES!$J$44</f>
        <v>297.45526978125002</v>
      </c>
      <c r="J247" s="384">
        <f t="shared" si="22"/>
        <v>2677.0974280312503</v>
      </c>
    </row>
    <row r="248" spans="1:10" s="335" customFormat="1" ht="28.8">
      <c r="A248" s="150"/>
      <c r="B248" s="381" t="s">
        <v>1373</v>
      </c>
      <c r="C248" s="382" t="s">
        <v>711</v>
      </c>
      <c r="D248" s="383" t="str">
        <f>COMPOSIÇÕES!B45</f>
        <v>CDHU - BOLETIM 191</v>
      </c>
      <c r="E248" s="388" t="s">
        <v>1043</v>
      </c>
      <c r="F248" s="382" t="s">
        <v>431</v>
      </c>
      <c r="G248" s="315">
        <v>1</v>
      </c>
      <c r="H248" s="287">
        <f>COMPOSIÇÕES!G47</f>
        <v>49.947131250000005</v>
      </c>
      <c r="I248" s="287">
        <f>COMPOSIÇÕES!$J$46</f>
        <v>59.68682184375001</v>
      </c>
      <c r="J248" s="384">
        <f t="shared" si="22"/>
        <v>59.68682184375001</v>
      </c>
    </row>
    <row r="249" spans="1:10" s="335" customFormat="1" ht="28.8">
      <c r="A249" s="150"/>
      <c r="B249" s="381" t="s">
        <v>1374</v>
      </c>
      <c r="C249" s="382" t="s">
        <v>711</v>
      </c>
      <c r="D249" s="383" t="str">
        <f>COMPOSIÇÕES!B46</f>
        <v>CDHU - BOLETIM 191</v>
      </c>
      <c r="E249" s="388" t="s">
        <v>1044</v>
      </c>
      <c r="F249" s="382" t="s">
        <v>431</v>
      </c>
      <c r="G249" s="315">
        <v>1</v>
      </c>
      <c r="H249" s="287">
        <f>COMPOSIÇÕES!G49</f>
        <v>82.875240000000005</v>
      </c>
      <c r="I249" s="287">
        <f>COMPOSIÇÕES!$J$48</f>
        <v>99.035911800000008</v>
      </c>
      <c r="J249" s="384">
        <f t="shared" si="22"/>
        <v>99.035911800000008</v>
      </c>
    </row>
    <row r="250" spans="1:10" s="150" customFormat="1" ht="28.8">
      <c r="B250" s="381" t="s">
        <v>1375</v>
      </c>
      <c r="C250" s="382" t="s">
        <v>711</v>
      </c>
      <c r="D250" s="383" t="str">
        <f>COMPOSIÇÕES!B47</f>
        <v>CDHU - BOLETIM 191</v>
      </c>
      <c r="E250" s="388" t="s">
        <v>809</v>
      </c>
      <c r="F250" s="382" t="s">
        <v>431</v>
      </c>
      <c r="G250" s="317">
        <v>9</v>
      </c>
      <c r="H250" s="287">
        <f>COMPOSIÇÕES!G123</f>
        <v>33.890000000000008</v>
      </c>
      <c r="I250" s="287">
        <f>COMPOSIÇÕES!$J$122</f>
        <v>40.498550000000009</v>
      </c>
      <c r="J250" s="384">
        <f t="shared" si="22"/>
        <v>364.48695000000009</v>
      </c>
    </row>
    <row r="251" spans="1:10" s="150" customFormat="1" ht="28.8">
      <c r="B251" s="381" t="s">
        <v>1376</v>
      </c>
      <c r="C251" s="382" t="s">
        <v>711</v>
      </c>
      <c r="D251" s="383" t="str">
        <f>COMPOSIÇÕES!B48</f>
        <v>CDHU - BOLETIM 191</v>
      </c>
      <c r="E251" s="388" t="s">
        <v>1119</v>
      </c>
      <c r="F251" s="382" t="s">
        <v>431</v>
      </c>
      <c r="G251" s="317">
        <v>1</v>
      </c>
      <c r="H251" s="287">
        <f>SUM(COMPOSIÇÕES!$G$125:$G$125)</f>
        <v>203.34</v>
      </c>
      <c r="I251" s="287">
        <f>COMPOSIÇÕES!$J$124</f>
        <v>242.9913</v>
      </c>
      <c r="J251" s="384">
        <f t="shared" si="22"/>
        <v>242.9913</v>
      </c>
    </row>
    <row r="252" spans="1:10" s="150" customFormat="1" ht="28.8">
      <c r="B252" s="381" t="s">
        <v>1377</v>
      </c>
      <c r="C252" s="382" t="s">
        <v>711</v>
      </c>
      <c r="D252" s="383" t="str">
        <f>COMPOSIÇÕES!B49</f>
        <v>CDHU - BOLETIM 191</v>
      </c>
      <c r="E252" s="388" t="s">
        <v>1117</v>
      </c>
      <c r="F252" s="382" t="s">
        <v>431</v>
      </c>
      <c r="G252" s="315">
        <v>1</v>
      </c>
      <c r="H252" s="287">
        <f>COMPOSIÇÕES!G57</f>
        <v>16.945000000000004</v>
      </c>
      <c r="I252" s="287">
        <f>COMPOSIÇÕES!$J$56</f>
        <v>20.249275000000004</v>
      </c>
      <c r="J252" s="384">
        <f t="shared" si="22"/>
        <v>20.249275000000004</v>
      </c>
    </row>
    <row r="253" spans="1:10" s="150" customFormat="1" ht="28.8">
      <c r="A253" s="271"/>
      <c r="B253" s="381" t="s">
        <v>1378</v>
      </c>
      <c r="C253" s="382" t="s">
        <v>711</v>
      </c>
      <c r="D253" s="383" t="str">
        <f>COMPOSIÇÕES!B58</f>
        <v xml:space="preserve">SINAPI SP - 08/2023 </v>
      </c>
      <c r="E253" s="388" t="s">
        <v>758</v>
      </c>
      <c r="F253" s="382" t="s">
        <v>412</v>
      </c>
      <c r="G253" s="315">
        <v>66</v>
      </c>
      <c r="H253" s="287">
        <f>SUM(COMPOSIÇÕES!$G$60:$G$61)</f>
        <v>22.045999999999999</v>
      </c>
      <c r="I253" s="287">
        <f>COMPOSIÇÕES!$J$58</f>
        <v>37.641304999999996</v>
      </c>
      <c r="J253" s="384">
        <f t="shared" si="22"/>
        <v>2484.3261299999999</v>
      </c>
    </row>
    <row r="254" spans="1:10" s="150" customFormat="1" ht="28.8">
      <c r="A254" s="271"/>
      <c r="B254" s="381" t="s">
        <v>1379</v>
      </c>
      <c r="C254" s="382" t="s">
        <v>711</v>
      </c>
      <c r="D254" s="383" t="str">
        <f>COMPOSIÇÕES!B64</f>
        <v>SINAPI SP - 08/2023</v>
      </c>
      <c r="E254" s="388" t="s">
        <v>697</v>
      </c>
      <c r="F254" s="382" t="s">
        <v>431</v>
      </c>
      <c r="G254" s="315">
        <v>44</v>
      </c>
      <c r="H254" s="287">
        <f>SUM(COMPOSIÇÕES!$G$65:$G$67)</f>
        <v>92.32</v>
      </c>
      <c r="I254" s="287">
        <f>COMPOSIÇÕES!$J$64</f>
        <v>110.32240000000002</v>
      </c>
      <c r="J254" s="384">
        <f t="shared" ref="J254:J258" si="23">I254*G254</f>
        <v>4854.1856000000007</v>
      </c>
    </row>
    <row r="255" spans="1:10" s="150" customFormat="1" ht="28.8">
      <c r="A255" s="271"/>
      <c r="B255" s="381" t="s">
        <v>1380</v>
      </c>
      <c r="C255" s="382" t="s">
        <v>711</v>
      </c>
      <c r="D255" s="383" t="str">
        <f>COMPOSIÇÕES!B68</f>
        <v xml:space="preserve">SINAPI SP - 08/2023 </v>
      </c>
      <c r="E255" s="388" t="s">
        <v>762</v>
      </c>
      <c r="F255" s="382" t="s">
        <v>415</v>
      </c>
      <c r="G255" s="315">
        <v>8</v>
      </c>
      <c r="H255" s="287">
        <f>SUM(COMPOSIÇÕES!$G$69:$G$70)</f>
        <v>58.91</v>
      </c>
      <c r="I255" s="287">
        <f>COMPOSIÇÕES!$J$68</f>
        <v>70.397449999999992</v>
      </c>
      <c r="J255" s="384">
        <f t="shared" si="23"/>
        <v>563.17959999999994</v>
      </c>
    </row>
    <row r="256" spans="1:10" s="150" customFormat="1" ht="28.8">
      <c r="A256" s="271"/>
      <c r="B256" s="381" t="s">
        <v>1381</v>
      </c>
      <c r="C256" s="399" t="s">
        <v>763</v>
      </c>
      <c r="D256" s="273" t="str">
        <f>COMPOSIÇÕES!B71</f>
        <v xml:space="preserve">SINAPI SP - 08/2023 </v>
      </c>
      <c r="E256" s="400" t="s">
        <v>761</v>
      </c>
      <c r="F256" s="273" t="s">
        <v>541</v>
      </c>
      <c r="G256" s="316">
        <v>2</v>
      </c>
      <c r="H256" s="287">
        <f>SUM(COMPOSIÇÕES!$G$72:$G$72)</f>
        <v>28.8</v>
      </c>
      <c r="I256" s="287">
        <f>COMPOSIÇÕES!$J$71</f>
        <v>34.416000000000004</v>
      </c>
      <c r="J256" s="384">
        <f t="shared" si="23"/>
        <v>68.832000000000008</v>
      </c>
    </row>
    <row r="257" spans="1:10" s="150" customFormat="1">
      <c r="A257" s="271"/>
      <c r="B257" s="381" t="s">
        <v>2428</v>
      </c>
      <c r="C257" s="399" t="s">
        <v>759</v>
      </c>
      <c r="D257" s="273" t="str">
        <f>COMPOSIÇÕES!B73</f>
        <v>FDE - 07/2023</v>
      </c>
      <c r="E257" s="400" t="s">
        <v>760</v>
      </c>
      <c r="F257" s="273" t="s">
        <v>701</v>
      </c>
      <c r="G257" s="316">
        <v>1</v>
      </c>
      <c r="H257" s="530">
        <f>VLOOKUP(C257,COMPOSIÇÕES!A:J,6,FALSE)</f>
        <v>38.485355648535567</v>
      </c>
      <c r="I257" s="287">
        <f>COMPOSIÇÕES!$J$73</f>
        <v>45.99</v>
      </c>
      <c r="J257" s="384">
        <f t="shared" si="23"/>
        <v>45.99</v>
      </c>
    </row>
    <row r="258" spans="1:10" s="150" customFormat="1">
      <c r="A258" s="271"/>
      <c r="B258" s="381" t="s">
        <v>2437</v>
      </c>
      <c r="C258" s="399" t="s">
        <v>764</v>
      </c>
      <c r="D258" s="273" t="str">
        <f>COMPOSIÇÕES!B74</f>
        <v>FDE - 07/2023</v>
      </c>
      <c r="E258" s="400" t="s">
        <v>765</v>
      </c>
      <c r="F258" s="273" t="s">
        <v>541</v>
      </c>
      <c r="G258" s="316">
        <v>3</v>
      </c>
      <c r="H258" s="530">
        <f>VLOOKUP(C258,COMPOSIÇÕES!A:J,6,FALSE)</f>
        <v>210.81171548117152</v>
      </c>
      <c r="I258" s="287">
        <f>COMPOSIÇÕES!$J$74</f>
        <v>251.91999999999996</v>
      </c>
      <c r="J258" s="384">
        <f t="shared" si="23"/>
        <v>755.75999999999988</v>
      </c>
    </row>
    <row r="259" spans="1:10" s="261" customFormat="1">
      <c r="B259" s="577" t="s">
        <v>566</v>
      </c>
      <c r="C259" s="578"/>
      <c r="D259" s="578"/>
      <c r="E259" s="578"/>
      <c r="F259" s="578"/>
      <c r="G259" s="578"/>
      <c r="H259" s="578"/>
      <c r="I259" s="578"/>
      <c r="J259" s="296">
        <f>SUM(J239:J258)</f>
        <v>85517.062635754992</v>
      </c>
    </row>
    <row r="260" spans="1:10" s="147" customFormat="1">
      <c r="B260" s="237" t="s">
        <v>564</v>
      </c>
      <c r="C260" s="238"/>
      <c r="D260" s="533"/>
      <c r="E260" s="239" t="s">
        <v>526</v>
      </c>
      <c r="F260" s="238"/>
      <c r="G260" s="312"/>
      <c r="H260" s="300"/>
      <c r="I260" s="285"/>
      <c r="J260" s="294"/>
    </row>
    <row r="261" spans="1:10" s="276" customFormat="1">
      <c r="A261" s="263"/>
      <c r="B261" s="381" t="s">
        <v>425</v>
      </c>
      <c r="C261" s="382" t="s">
        <v>711</v>
      </c>
      <c r="D261" s="383" t="str">
        <f>COMPOSIÇÕES!B75</f>
        <v>FDE - 07/2023</v>
      </c>
      <c r="E261" s="344" t="s">
        <v>745</v>
      </c>
      <c r="F261" s="382" t="s">
        <v>431</v>
      </c>
      <c r="G261" s="316">
        <v>50</v>
      </c>
      <c r="H261" s="290">
        <f>SUM(COMPOSIÇÕES!$G$76:$G$78)</f>
        <v>34.013252032520327</v>
      </c>
      <c r="I261" s="287">
        <f>COMPOSIÇÕES!$J$75</f>
        <v>40.645836178861792</v>
      </c>
      <c r="J261" s="384">
        <f t="shared" ref="J261:J273" si="24">G261*I261</f>
        <v>2032.2918089430896</v>
      </c>
    </row>
    <row r="262" spans="1:10" s="276" customFormat="1" ht="43.2">
      <c r="A262" s="263"/>
      <c r="B262" s="381" t="s">
        <v>427</v>
      </c>
      <c r="C262" s="382" t="s">
        <v>711</v>
      </c>
      <c r="D262" s="383" t="str">
        <f>COMPOSIÇÕES!B79</f>
        <v>FDE - 07/2023 + SINAPI SP - 08/2023</v>
      </c>
      <c r="E262" s="344" t="s">
        <v>742</v>
      </c>
      <c r="F262" s="382" t="s">
        <v>431</v>
      </c>
      <c r="G262" s="316">
        <v>8</v>
      </c>
      <c r="H262" s="290">
        <f>SUM(COMPOSIÇÕES!$G$80:$G$82)</f>
        <v>6.9960000000000004</v>
      </c>
      <c r="I262" s="287">
        <f>COMPOSIÇÕES!$J$79</f>
        <v>8.36022</v>
      </c>
      <c r="J262" s="384">
        <f t="shared" si="24"/>
        <v>66.88176</v>
      </c>
    </row>
    <row r="263" spans="1:10" s="276" customFormat="1">
      <c r="A263" s="263"/>
      <c r="B263" s="381" t="s">
        <v>429</v>
      </c>
      <c r="C263" s="382" t="s">
        <v>739</v>
      </c>
      <c r="D263" s="383" t="str">
        <f>COMPOSIÇÕES!B83</f>
        <v>FDE - 07/2023</v>
      </c>
      <c r="E263" s="344" t="s">
        <v>766</v>
      </c>
      <c r="F263" s="382" t="s">
        <v>431</v>
      </c>
      <c r="G263" s="316">
        <v>10</v>
      </c>
      <c r="H263" s="530">
        <f>VLOOKUP(C263,COMPOSIÇÕES!A:J,6,FALSE)</f>
        <v>32.35146443514644</v>
      </c>
      <c r="I263" s="287">
        <f>COMPOSIÇÕES!$J$83</f>
        <v>38.659999999999997</v>
      </c>
      <c r="J263" s="384">
        <f t="shared" si="24"/>
        <v>386.59999999999997</v>
      </c>
    </row>
    <row r="264" spans="1:10" s="276" customFormat="1">
      <c r="A264" s="263"/>
      <c r="B264" s="381" t="s">
        <v>567</v>
      </c>
      <c r="C264" s="382" t="s">
        <v>739</v>
      </c>
      <c r="D264" s="535" t="str">
        <f>VLOOKUP(C264,COMPOSIÇÕES!A:J,2,FALSE)</f>
        <v>FDE - 07/2023</v>
      </c>
      <c r="E264" s="344" t="s">
        <v>767</v>
      </c>
      <c r="F264" s="382" t="s">
        <v>431</v>
      </c>
      <c r="G264" s="316">
        <v>10</v>
      </c>
      <c r="H264" s="530">
        <f>VLOOKUP(C264,COMPOSIÇÕES!A:J,6,FALSE)</f>
        <v>32.35146443514644</v>
      </c>
      <c r="I264" s="287">
        <f>COMPOSIÇÕES!$J$83</f>
        <v>38.659999999999997</v>
      </c>
      <c r="J264" s="384">
        <f t="shared" si="24"/>
        <v>386.59999999999997</v>
      </c>
    </row>
    <row r="265" spans="1:10" s="276" customFormat="1">
      <c r="A265" s="263"/>
      <c r="B265" s="381" t="s">
        <v>568</v>
      </c>
      <c r="C265" s="382" t="s">
        <v>739</v>
      </c>
      <c r="D265" s="535" t="str">
        <f>VLOOKUP(C265,COMPOSIÇÕES!A:J,2,FALSE)</f>
        <v>FDE - 07/2023</v>
      </c>
      <c r="E265" s="344" t="s">
        <v>768</v>
      </c>
      <c r="F265" s="382" t="s">
        <v>431</v>
      </c>
      <c r="G265" s="316">
        <v>8</v>
      </c>
      <c r="H265" s="530">
        <f>VLOOKUP(C265,COMPOSIÇÕES!A:J,6,FALSE)</f>
        <v>32.35146443514644</v>
      </c>
      <c r="I265" s="287">
        <f>COMPOSIÇÕES!$J$83</f>
        <v>38.659999999999997</v>
      </c>
      <c r="J265" s="384">
        <f t="shared" si="24"/>
        <v>309.27999999999997</v>
      </c>
    </row>
    <row r="266" spans="1:10" s="276" customFormat="1">
      <c r="A266" s="263"/>
      <c r="B266" s="381" t="s">
        <v>1384</v>
      </c>
      <c r="C266" s="382" t="s">
        <v>738</v>
      </c>
      <c r="D266" s="535" t="str">
        <f>VLOOKUP(C266,COMPOSIÇÕES!A:J,2,FALSE)</f>
        <v>FDE - 07/2023</v>
      </c>
      <c r="E266" s="344" t="s">
        <v>818</v>
      </c>
      <c r="F266" s="382" t="s">
        <v>431</v>
      </c>
      <c r="G266" s="316">
        <v>1</v>
      </c>
      <c r="H266" s="530">
        <f>VLOOKUP(C266,COMPOSIÇÕES!A:J,6,FALSE)</f>
        <v>37.087866108786606</v>
      </c>
      <c r="I266" s="287">
        <f>COMPOSIÇÕES!$J$84</f>
        <v>44.319999999999993</v>
      </c>
      <c r="J266" s="384">
        <f t="shared" si="24"/>
        <v>44.319999999999993</v>
      </c>
    </row>
    <row r="267" spans="1:10" s="276" customFormat="1">
      <c r="A267" s="263"/>
      <c r="B267" s="381" t="s">
        <v>1385</v>
      </c>
      <c r="C267" s="382" t="s">
        <v>738</v>
      </c>
      <c r="D267" s="383" t="str">
        <f>COMPOSIÇÕES!B84</f>
        <v>FDE - 07/2023</v>
      </c>
      <c r="E267" s="344" t="s">
        <v>817</v>
      </c>
      <c r="F267" s="382" t="s">
        <v>431</v>
      </c>
      <c r="G267" s="316">
        <v>1</v>
      </c>
      <c r="H267" s="530">
        <f>VLOOKUP(C267,COMPOSIÇÕES!A:J,6,FALSE)</f>
        <v>37.087866108786606</v>
      </c>
      <c r="I267" s="287">
        <f>COMPOSIÇÕES!$J$84</f>
        <v>44.319999999999993</v>
      </c>
      <c r="J267" s="384">
        <f t="shared" si="24"/>
        <v>44.319999999999993</v>
      </c>
    </row>
    <row r="268" spans="1:10" s="276" customFormat="1">
      <c r="A268" s="263"/>
      <c r="B268" s="381" t="s">
        <v>1386</v>
      </c>
      <c r="C268" s="382" t="s">
        <v>738</v>
      </c>
      <c r="D268" s="535" t="str">
        <f>VLOOKUP(C268,COMPOSIÇÕES!A:J,2,FALSE)</f>
        <v>FDE - 07/2023</v>
      </c>
      <c r="E268" s="344" t="s">
        <v>769</v>
      </c>
      <c r="F268" s="382" t="s">
        <v>431</v>
      </c>
      <c r="G268" s="316">
        <v>2</v>
      </c>
      <c r="H268" s="530">
        <f>VLOOKUP(C268,COMPOSIÇÕES!A:J,6,FALSE)</f>
        <v>37.087866108786606</v>
      </c>
      <c r="I268" s="287">
        <f>COMPOSIÇÕES!$J$84</f>
        <v>44.319999999999993</v>
      </c>
      <c r="J268" s="384">
        <f t="shared" si="24"/>
        <v>88.639999999999986</v>
      </c>
    </row>
    <row r="269" spans="1:10" s="276" customFormat="1">
      <c r="A269" s="263"/>
      <c r="B269" s="381" t="s">
        <v>1387</v>
      </c>
      <c r="C269" s="382" t="s">
        <v>735</v>
      </c>
      <c r="D269" s="383" t="str">
        <f>COMPOSIÇÕES!B89</f>
        <v>FDE - 07/2023</v>
      </c>
      <c r="E269" s="344" t="s">
        <v>736</v>
      </c>
      <c r="F269" s="382" t="s">
        <v>431</v>
      </c>
      <c r="G269" s="316">
        <v>162</v>
      </c>
      <c r="H269" s="530">
        <f>VLOOKUP(C269,COMPOSIÇÕES!A:J,6,FALSE)</f>
        <v>7.8158995815899575</v>
      </c>
      <c r="I269" s="287">
        <f>COMPOSIÇÕES!$J$89</f>
        <v>9.34</v>
      </c>
      <c r="J269" s="384">
        <f t="shared" si="24"/>
        <v>1513.08</v>
      </c>
    </row>
    <row r="270" spans="1:10" s="276" customFormat="1" ht="28.8">
      <c r="A270" s="263"/>
      <c r="B270" s="381" t="s">
        <v>1388</v>
      </c>
      <c r="C270" s="382" t="s">
        <v>1142</v>
      </c>
      <c r="D270" s="383" t="str">
        <f>COMPOSIÇÕES!B91</f>
        <v>CDHU - BOLETIM 191</v>
      </c>
      <c r="E270" s="388" t="str">
        <f>COMPOSIÇÕES!C91</f>
        <v>Eletrocalha perfurada galvanizada a fogo, 100 x 50 mm, com acessórios</v>
      </c>
      <c r="F270" s="382" t="s">
        <v>431</v>
      </c>
      <c r="G270" s="316">
        <f>36*3</f>
        <v>108</v>
      </c>
      <c r="H270" s="530">
        <f>VLOOKUP(C270,COMPOSIÇÕES!A:J,6,FALSE)</f>
        <v>98.38</v>
      </c>
      <c r="I270" s="287">
        <f>COMPOSIÇÕES!$J$91</f>
        <v>117.5641</v>
      </c>
      <c r="J270" s="384">
        <f t="shared" si="24"/>
        <v>12696.9228</v>
      </c>
    </row>
    <row r="271" spans="1:10" s="276" customFormat="1" ht="28.8">
      <c r="A271" s="263"/>
      <c r="B271" s="381" t="s">
        <v>1389</v>
      </c>
      <c r="C271" s="382" t="s">
        <v>1143</v>
      </c>
      <c r="D271" s="383" t="str">
        <f>COMPOSIÇÕES!B92</f>
        <v>CDHU - BOLETIM 191</v>
      </c>
      <c r="E271" s="388" t="str">
        <f>COMPOSIÇÕES!C92</f>
        <v>Eletroduto galvanizado a quente conforme NBR5598 ‐ 3/4´ com acessórios</v>
      </c>
      <c r="F271" s="382" t="s">
        <v>412</v>
      </c>
      <c r="G271" s="316">
        <f>23*3</f>
        <v>69</v>
      </c>
      <c r="H271" s="530">
        <f>VLOOKUP(C271,COMPOSIÇÕES!A:J,6,FALSE)</f>
        <v>60.65</v>
      </c>
      <c r="I271" s="287">
        <f>COMPOSIÇÕES!$J$92</f>
        <v>72.476749999999996</v>
      </c>
      <c r="J271" s="384">
        <f t="shared" si="24"/>
        <v>5000.8957499999997</v>
      </c>
    </row>
    <row r="272" spans="1:10" s="276" customFormat="1" ht="28.8">
      <c r="A272" s="263"/>
      <c r="B272" s="381" t="s">
        <v>1390</v>
      </c>
      <c r="C272" s="382" t="s">
        <v>1146</v>
      </c>
      <c r="D272" s="383" t="str">
        <f>COMPOSIÇÕES!B93</f>
        <v>CDHU - BOLETIM 191</v>
      </c>
      <c r="E272" s="388" t="str">
        <f>COMPOSIÇÕES!C93</f>
        <v>Eletroduto galvanizado a quente conforme NBR5598 ‐ 1´ com acessórios</v>
      </c>
      <c r="F272" s="382" t="s">
        <v>412</v>
      </c>
      <c r="G272" s="316">
        <f>7*3</f>
        <v>21</v>
      </c>
      <c r="H272" s="530">
        <f>VLOOKUP(C272,COMPOSIÇÕES!A:J,6,FALSE)</f>
        <v>75.38</v>
      </c>
      <c r="I272" s="287">
        <f>COMPOSIÇÕES!$J$93</f>
        <v>90.079099999999997</v>
      </c>
      <c r="J272" s="384">
        <f t="shared" si="24"/>
        <v>1891.6611</v>
      </c>
    </row>
    <row r="273" spans="1:10" s="276" customFormat="1" ht="28.8">
      <c r="A273" s="274"/>
      <c r="B273" s="381" t="s">
        <v>1391</v>
      </c>
      <c r="C273" s="382" t="str">
        <f>COMPOSIÇÕES!A163</f>
        <v>38.06.160</v>
      </c>
      <c r="D273" s="383" t="str">
        <f>COMPOSIÇÕES!B163</f>
        <v>CDHU - BOLETIM 191</v>
      </c>
      <c r="E273" s="388" t="str">
        <f>COMPOSIÇÕES!C163</f>
        <v>Eletroduto galvanizado a quente conforme NBR5598 ‐ 3´ com acessórios</v>
      </c>
      <c r="F273" s="382" t="s">
        <v>412</v>
      </c>
      <c r="G273" s="316">
        <f>3*3</f>
        <v>9</v>
      </c>
      <c r="H273" s="530">
        <f>VLOOKUP(C273,COMPOSIÇÕES!A:J,6,FALSE)</f>
        <v>212.36</v>
      </c>
      <c r="I273" s="287">
        <f>COMPOSIÇÕES!$J$163</f>
        <v>253.77020000000002</v>
      </c>
      <c r="J273" s="384">
        <f t="shared" si="24"/>
        <v>2283.9318000000003</v>
      </c>
    </row>
    <row r="274" spans="1:10" s="276" customFormat="1" ht="28.8">
      <c r="A274" s="263"/>
      <c r="B274" s="381" t="s">
        <v>1392</v>
      </c>
      <c r="C274" s="382">
        <v>91927</v>
      </c>
      <c r="D274" s="383" t="str">
        <f>COMPOSIÇÕES!B143</f>
        <v>SINAPI SP - 08/2023</v>
      </c>
      <c r="E274" s="344" t="s">
        <v>770</v>
      </c>
      <c r="F274" s="382" t="s">
        <v>412</v>
      </c>
      <c r="G274" s="316">
        <v>1050</v>
      </c>
      <c r="H274" s="530">
        <f>VLOOKUP(C274,COMPOSIÇÕES!A:J,6,FALSE)</f>
        <v>4.8</v>
      </c>
      <c r="I274" s="287">
        <f>COMPOSIÇÕES!$J$96</f>
        <v>5.7359999999999998</v>
      </c>
      <c r="J274" s="384">
        <f t="shared" ref="J274:J289" si="25">G274*I274</f>
        <v>6022.8</v>
      </c>
    </row>
    <row r="275" spans="1:10" s="276" customFormat="1" ht="28.8">
      <c r="A275" s="263"/>
      <c r="B275" s="381" t="s">
        <v>1393</v>
      </c>
      <c r="C275" s="382">
        <v>91927</v>
      </c>
      <c r="D275" s="535" t="str">
        <f>VLOOKUP(C275,COMPOSIÇÕES!A:J,2,FALSE)</f>
        <v>SINAPI SP - 08/2023</v>
      </c>
      <c r="E275" s="344" t="s">
        <v>771</v>
      </c>
      <c r="F275" s="382" t="s">
        <v>412</v>
      </c>
      <c r="G275" s="316">
        <v>1050</v>
      </c>
      <c r="H275" s="530">
        <f>VLOOKUP(C275,COMPOSIÇÕES!A:J,6,FALSE)</f>
        <v>4.8</v>
      </c>
      <c r="I275" s="287">
        <f>COMPOSIÇÕES!$J$96</f>
        <v>5.7359999999999998</v>
      </c>
      <c r="J275" s="384">
        <f t="shared" si="25"/>
        <v>6022.8</v>
      </c>
    </row>
    <row r="276" spans="1:10" s="276" customFormat="1" ht="28.8">
      <c r="A276" s="263"/>
      <c r="B276" s="381" t="s">
        <v>1394</v>
      </c>
      <c r="C276" s="382">
        <v>91927</v>
      </c>
      <c r="D276" s="535" t="str">
        <f>VLOOKUP(C276,COMPOSIÇÕES!A:J,2,FALSE)</f>
        <v>SINAPI SP - 08/2023</v>
      </c>
      <c r="E276" s="344" t="s">
        <v>772</v>
      </c>
      <c r="F276" s="382" t="s">
        <v>412</v>
      </c>
      <c r="G276" s="316">
        <v>1050</v>
      </c>
      <c r="H276" s="530">
        <f>VLOOKUP(C276,COMPOSIÇÕES!A:J,6,FALSE)</f>
        <v>4.8</v>
      </c>
      <c r="I276" s="287">
        <f>COMPOSIÇÕES!$J$96</f>
        <v>5.7359999999999998</v>
      </c>
      <c r="J276" s="384">
        <f t="shared" si="25"/>
        <v>6022.8</v>
      </c>
    </row>
    <row r="277" spans="1:10" s="276" customFormat="1" ht="28.8">
      <c r="A277" s="263"/>
      <c r="B277" s="381" t="s">
        <v>1395</v>
      </c>
      <c r="C277" s="382">
        <v>91927</v>
      </c>
      <c r="D277" s="535" t="str">
        <f>VLOOKUP(C277,COMPOSIÇÕES!A:J,2,FALSE)</f>
        <v>SINAPI SP - 08/2023</v>
      </c>
      <c r="E277" s="344" t="s">
        <v>773</v>
      </c>
      <c r="F277" s="382" t="s">
        <v>412</v>
      </c>
      <c r="G277" s="316">
        <v>200</v>
      </c>
      <c r="H277" s="530">
        <f>VLOOKUP(C277,COMPOSIÇÕES!A:J,6,FALSE)</f>
        <v>4.8</v>
      </c>
      <c r="I277" s="287">
        <f>COMPOSIÇÕES!$J$96</f>
        <v>5.7359999999999998</v>
      </c>
      <c r="J277" s="384">
        <f t="shared" si="25"/>
        <v>1147.2</v>
      </c>
    </row>
    <row r="278" spans="1:10" s="276" customFormat="1" ht="28.8">
      <c r="A278" s="263"/>
      <c r="B278" s="381" t="s">
        <v>1396</v>
      </c>
      <c r="C278" s="382">
        <v>91929</v>
      </c>
      <c r="D278" s="535" t="str">
        <f>VLOOKUP(C278,COMPOSIÇÕES!A:J,2,FALSE)</f>
        <v>SINAPI SP - 08/2023</v>
      </c>
      <c r="E278" s="344" t="s">
        <v>774</v>
      </c>
      <c r="F278" s="382" t="s">
        <v>412</v>
      </c>
      <c r="G278" s="316">
        <v>560</v>
      </c>
      <c r="H278" s="530">
        <f>VLOOKUP(C278,COMPOSIÇÕES!A:J,6,FALSE)</f>
        <v>6.92</v>
      </c>
      <c r="I278" s="287">
        <f>COMPOSIÇÕES!$J$97</f>
        <v>8.2693999999999992</v>
      </c>
      <c r="J278" s="384">
        <f t="shared" si="25"/>
        <v>4630.8639999999996</v>
      </c>
    </row>
    <row r="279" spans="1:10" s="276" customFormat="1" ht="28.8">
      <c r="A279" s="263"/>
      <c r="B279" s="381" t="s">
        <v>1397</v>
      </c>
      <c r="C279" s="382">
        <v>91929</v>
      </c>
      <c r="D279" s="383" t="str">
        <f>COMPOSIÇÕES!B97</f>
        <v>SINAPI SP - 08/2023</v>
      </c>
      <c r="E279" s="344" t="s">
        <v>775</v>
      </c>
      <c r="F279" s="382" t="s">
        <v>412</v>
      </c>
      <c r="G279" s="316">
        <v>560</v>
      </c>
      <c r="H279" s="530">
        <f>VLOOKUP(C279,COMPOSIÇÕES!A:J,6,FALSE)</f>
        <v>6.92</v>
      </c>
      <c r="I279" s="287">
        <f>COMPOSIÇÕES!$J$97</f>
        <v>8.2693999999999992</v>
      </c>
      <c r="J279" s="384">
        <f t="shared" si="25"/>
        <v>4630.8639999999996</v>
      </c>
    </row>
    <row r="280" spans="1:10" s="276" customFormat="1" ht="28.8">
      <c r="A280" s="263"/>
      <c r="B280" s="381" t="s">
        <v>1398</v>
      </c>
      <c r="C280" s="382">
        <v>91929</v>
      </c>
      <c r="D280" s="535" t="str">
        <f>VLOOKUP(C280,COMPOSIÇÕES!A:J,2,FALSE)</f>
        <v>SINAPI SP - 08/2023</v>
      </c>
      <c r="E280" s="344" t="s">
        <v>835</v>
      </c>
      <c r="F280" s="382" t="s">
        <v>412</v>
      </c>
      <c r="G280" s="316">
        <v>560</v>
      </c>
      <c r="H280" s="530">
        <f>VLOOKUP(C280,COMPOSIÇÕES!A:J,6,FALSE)</f>
        <v>6.92</v>
      </c>
      <c r="I280" s="287">
        <f>COMPOSIÇÕES!$J$97</f>
        <v>8.2693999999999992</v>
      </c>
      <c r="J280" s="384">
        <f t="shared" si="25"/>
        <v>4630.8639999999996</v>
      </c>
    </row>
    <row r="281" spans="1:10" s="276" customFormat="1" ht="28.8">
      <c r="A281" s="263"/>
      <c r="B281" s="381" t="s">
        <v>1399</v>
      </c>
      <c r="C281" s="382">
        <v>91929</v>
      </c>
      <c r="D281" s="535" t="str">
        <f>VLOOKUP(C281,COMPOSIÇÕES!A:J,2,FALSE)</f>
        <v>SINAPI SP - 08/2023</v>
      </c>
      <c r="E281" s="344" t="s">
        <v>776</v>
      </c>
      <c r="F281" s="382" t="s">
        <v>412</v>
      </c>
      <c r="G281" s="316">
        <v>200</v>
      </c>
      <c r="H281" s="530">
        <f>VLOOKUP(C281,COMPOSIÇÕES!A:J,6,FALSE)</f>
        <v>6.92</v>
      </c>
      <c r="I281" s="287">
        <f>COMPOSIÇÕES!$J$97</f>
        <v>8.2693999999999992</v>
      </c>
      <c r="J281" s="384">
        <f t="shared" si="25"/>
        <v>1653.8799999999999</v>
      </c>
    </row>
    <row r="282" spans="1:10" s="276" customFormat="1" ht="28.8">
      <c r="A282" s="263"/>
      <c r="B282" s="381" t="s">
        <v>1400</v>
      </c>
      <c r="C282" s="382">
        <v>92986</v>
      </c>
      <c r="D282" s="535" t="str">
        <f>VLOOKUP(C282,COMPOSIÇÕES!A:J,2,FALSE)</f>
        <v>SINAPI SP - 08/2023</v>
      </c>
      <c r="E282" s="344" t="s">
        <v>857</v>
      </c>
      <c r="F282" s="382" t="s">
        <v>412</v>
      </c>
      <c r="G282" s="316">
        <v>42</v>
      </c>
      <c r="H282" s="530">
        <f>VLOOKUP(C282,COMPOSIÇÕES!A:J,6,FALSE)</f>
        <v>32.17</v>
      </c>
      <c r="I282" s="287">
        <f>COMPOSIÇÕES!$J$164</f>
        <v>38.443150000000003</v>
      </c>
      <c r="J282" s="384">
        <f t="shared" si="25"/>
        <v>1614.6123000000002</v>
      </c>
    </row>
    <row r="283" spans="1:10" s="276" customFormat="1" ht="28.8">
      <c r="A283" s="263"/>
      <c r="B283" s="381" t="s">
        <v>1401</v>
      </c>
      <c r="C283" s="382">
        <v>92990</v>
      </c>
      <c r="D283" s="383" t="str">
        <f>COMPOSIÇÕES!B165</f>
        <v>SINAPI SP - 08/2023</v>
      </c>
      <c r="E283" s="344" t="s">
        <v>853</v>
      </c>
      <c r="F283" s="382" t="s">
        <v>412</v>
      </c>
      <c r="G283" s="316">
        <v>42</v>
      </c>
      <c r="H283" s="530">
        <f>VLOOKUP(C283,COMPOSIÇÕES!A:J,6,FALSE)</f>
        <v>63.26</v>
      </c>
      <c r="I283" s="287">
        <f>COMPOSIÇÕES!$J$165</f>
        <v>75.595699999999994</v>
      </c>
      <c r="J283" s="384">
        <f t="shared" si="25"/>
        <v>3175.0193999999997</v>
      </c>
    </row>
    <row r="284" spans="1:10" s="276" customFormat="1" ht="28.8">
      <c r="A284" s="263"/>
      <c r="B284" s="381" t="s">
        <v>1402</v>
      </c>
      <c r="C284" s="382">
        <v>92990</v>
      </c>
      <c r="D284" s="535" t="str">
        <f>VLOOKUP(C284,COMPOSIÇÕES!A:J,2,FALSE)</f>
        <v>SINAPI SP - 08/2023</v>
      </c>
      <c r="E284" s="344" t="s">
        <v>854</v>
      </c>
      <c r="F284" s="382" t="s">
        <v>412</v>
      </c>
      <c r="G284" s="316">
        <v>42</v>
      </c>
      <c r="H284" s="530">
        <f>VLOOKUP(C284,COMPOSIÇÕES!A:J,6,FALSE)</f>
        <v>63.26</v>
      </c>
      <c r="I284" s="287">
        <f>COMPOSIÇÕES!$J$165</f>
        <v>75.595699999999994</v>
      </c>
      <c r="J284" s="384">
        <f t="shared" si="25"/>
        <v>3175.0193999999997</v>
      </c>
    </row>
    <row r="285" spans="1:10" s="276" customFormat="1" ht="28.8">
      <c r="A285" s="263"/>
      <c r="B285" s="381" t="s">
        <v>1403</v>
      </c>
      <c r="C285" s="382">
        <v>92990</v>
      </c>
      <c r="D285" s="535" t="str">
        <f>VLOOKUP(C285,COMPOSIÇÕES!A:J,2,FALSE)</f>
        <v>SINAPI SP - 08/2023</v>
      </c>
      <c r="E285" s="344" t="s">
        <v>855</v>
      </c>
      <c r="F285" s="382" t="s">
        <v>412</v>
      </c>
      <c r="G285" s="316">
        <v>42</v>
      </c>
      <c r="H285" s="530">
        <f>VLOOKUP(C285,COMPOSIÇÕES!A:J,6,FALSE)</f>
        <v>63.26</v>
      </c>
      <c r="I285" s="287">
        <f>COMPOSIÇÕES!$J$165</f>
        <v>75.595699999999994</v>
      </c>
      <c r="J285" s="384">
        <f t="shared" si="25"/>
        <v>3175.0193999999997</v>
      </c>
    </row>
    <row r="286" spans="1:10" s="276" customFormat="1" ht="28.8">
      <c r="A286" s="263"/>
      <c r="B286" s="381" t="s">
        <v>1404</v>
      </c>
      <c r="C286" s="382">
        <v>92990</v>
      </c>
      <c r="D286" s="535" t="str">
        <f>VLOOKUP(C286,COMPOSIÇÕES!A:J,2,FALSE)</f>
        <v>SINAPI SP - 08/2023</v>
      </c>
      <c r="E286" s="344" t="s">
        <v>856</v>
      </c>
      <c r="F286" s="382" t="s">
        <v>412</v>
      </c>
      <c r="G286" s="316">
        <v>42</v>
      </c>
      <c r="H286" s="530">
        <f>VLOOKUP(C286,COMPOSIÇÕES!A:J,6,FALSE)</f>
        <v>63.26</v>
      </c>
      <c r="I286" s="287">
        <f>COMPOSIÇÕES!$J$165</f>
        <v>75.595699999999994</v>
      </c>
      <c r="J286" s="384">
        <f t="shared" si="25"/>
        <v>3175.0193999999997</v>
      </c>
    </row>
    <row r="287" spans="1:10" s="276" customFormat="1">
      <c r="A287" s="263"/>
      <c r="B287" s="381" t="s">
        <v>1405</v>
      </c>
      <c r="C287" s="383" t="str">
        <f>COMPOSIÇÕES!A144</f>
        <v>09.82.028</v>
      </c>
      <c r="D287" s="383" t="str">
        <f>COMPOSIÇÕES!B144</f>
        <v>FDE - 07/2023</v>
      </c>
      <c r="E287" s="344" t="s">
        <v>871</v>
      </c>
      <c r="F287" s="382" t="s">
        <v>431</v>
      </c>
      <c r="G287" s="316">
        <v>6</v>
      </c>
      <c r="H287" s="530">
        <f>VLOOKUP(C287,COMPOSIÇÕES!A:J,6,FALSE)</f>
        <v>28.62</v>
      </c>
      <c r="I287" s="287">
        <f>COMPOSIÇÕES!$J$144</f>
        <v>34.200900000000004</v>
      </c>
      <c r="J287" s="384">
        <f t="shared" si="25"/>
        <v>205.20540000000003</v>
      </c>
    </row>
    <row r="288" spans="1:10" s="276" customFormat="1">
      <c r="A288" s="263"/>
      <c r="B288" s="381" t="s">
        <v>1406</v>
      </c>
      <c r="C288" s="383" t="str">
        <f>COMPOSIÇÕES!A145</f>
        <v>09.82.032</v>
      </c>
      <c r="D288" s="383" t="str">
        <f>COMPOSIÇÕES!B145</f>
        <v>FDE - 07/2023</v>
      </c>
      <c r="E288" s="344" t="s">
        <v>872</v>
      </c>
      <c r="F288" s="382" t="s">
        <v>431</v>
      </c>
      <c r="G288" s="316">
        <v>12</v>
      </c>
      <c r="H288" s="530">
        <f>VLOOKUP(C288,COMPOSIÇÕES!A:J,6,FALSE)</f>
        <v>56.55</v>
      </c>
      <c r="I288" s="287">
        <f>COMPOSIÇÕES!$J$166</f>
        <v>56.547400000000003</v>
      </c>
      <c r="J288" s="384">
        <f t="shared" si="25"/>
        <v>678.56880000000001</v>
      </c>
    </row>
    <row r="289" spans="1:10" s="263" customFormat="1" ht="72">
      <c r="B289" s="381" t="s">
        <v>1407</v>
      </c>
      <c r="C289" s="275" t="s">
        <v>711</v>
      </c>
      <c r="D289" s="277" t="s">
        <v>2476</v>
      </c>
      <c r="E289" s="278" t="s">
        <v>1034</v>
      </c>
      <c r="F289" s="275" t="s">
        <v>431</v>
      </c>
      <c r="G289" s="313">
        <v>1</v>
      </c>
      <c r="H289" s="301">
        <f>SUM(COMPOSIÇÕES!G168:G174)</f>
        <v>8580.4708351464433</v>
      </c>
      <c r="I289" s="286">
        <f>COMPOSIÇÕES!$J$167</f>
        <v>10253.662648</v>
      </c>
      <c r="J289" s="295">
        <f t="shared" si="25"/>
        <v>10253.662648</v>
      </c>
    </row>
    <row r="290" spans="1:10" s="147" customFormat="1">
      <c r="B290" s="577" t="s">
        <v>569</v>
      </c>
      <c r="C290" s="578"/>
      <c r="D290" s="578"/>
      <c r="E290" s="578"/>
      <c r="F290" s="578"/>
      <c r="G290" s="578"/>
      <c r="H290" s="578"/>
      <c r="I290" s="578"/>
      <c r="J290" s="296">
        <f>SUM(J261:J289)</f>
        <v>86959.623766943114</v>
      </c>
    </row>
    <row r="291" spans="1:10" s="263" customFormat="1">
      <c r="B291" s="237" t="s">
        <v>570</v>
      </c>
      <c r="C291" s="238"/>
      <c r="D291" s="533"/>
      <c r="E291" s="239" t="s">
        <v>650</v>
      </c>
      <c r="F291" s="238"/>
      <c r="G291" s="312"/>
      <c r="H291" s="300"/>
      <c r="I291" s="285"/>
      <c r="J291" s="294"/>
    </row>
    <row r="292" spans="1:10" s="276" customFormat="1">
      <c r="A292" s="263"/>
      <c r="B292" s="381" t="s">
        <v>430</v>
      </c>
      <c r="C292" s="382" t="s">
        <v>708</v>
      </c>
      <c r="D292" s="383" t="str">
        <f>COMPOSIÇÕES!B115</f>
        <v>FDE - 07/2023</v>
      </c>
      <c r="E292" s="344" t="s">
        <v>651</v>
      </c>
      <c r="F292" s="382" t="s">
        <v>541</v>
      </c>
      <c r="G292" s="316">
        <v>100</v>
      </c>
      <c r="H292" s="290">
        <f>COMPOSIÇÕES!$G$116</f>
        <v>5.116260162601626</v>
      </c>
      <c r="I292" s="287">
        <f>COMPOSIÇÕES!$J$115</f>
        <v>6.1139308943089432</v>
      </c>
      <c r="J292" s="384">
        <f>G292*I292</f>
        <v>611.39308943089429</v>
      </c>
    </row>
    <row r="293" spans="1:10" s="263" customFormat="1">
      <c r="B293" s="577" t="s">
        <v>572</v>
      </c>
      <c r="C293" s="578"/>
      <c r="D293" s="578"/>
      <c r="E293" s="578"/>
      <c r="F293" s="578"/>
      <c r="G293" s="578"/>
      <c r="H293" s="578"/>
      <c r="I293" s="578"/>
      <c r="J293" s="296">
        <f>J292</f>
        <v>611.39308943089429</v>
      </c>
    </row>
    <row r="294" spans="1:10" s="261" customFormat="1" ht="25.5" customHeight="1" thickBot="1">
      <c r="B294" s="564" t="s">
        <v>571</v>
      </c>
      <c r="C294" s="565"/>
      <c r="D294" s="565"/>
      <c r="E294" s="565"/>
      <c r="F294" s="565"/>
      <c r="G294" s="565"/>
      <c r="H294" s="565"/>
      <c r="I294" s="566"/>
      <c r="J294" s="297">
        <f>J237+J259+J290+J293</f>
        <v>175620.31854962901</v>
      </c>
    </row>
    <row r="295" spans="1:10" s="147" customFormat="1">
      <c r="B295" s="264" t="s">
        <v>8</v>
      </c>
      <c r="C295" s="265"/>
      <c r="D295" s="534"/>
      <c r="E295" s="266" t="s">
        <v>490</v>
      </c>
      <c r="F295" s="265"/>
      <c r="G295" s="310"/>
      <c r="H295" s="298"/>
      <c r="I295" s="283"/>
      <c r="J295" s="292"/>
    </row>
    <row r="296" spans="1:10" s="147" customFormat="1" ht="6" customHeight="1">
      <c r="B296" s="234"/>
      <c r="C296" s="235"/>
      <c r="D296" s="532"/>
      <c r="E296" s="236"/>
      <c r="F296" s="235"/>
      <c r="G296" s="311"/>
      <c r="H296" s="299"/>
      <c r="I296" s="284"/>
      <c r="J296" s="293"/>
    </row>
    <row r="297" spans="1:10" s="261" customFormat="1">
      <c r="B297" s="237" t="s">
        <v>19</v>
      </c>
      <c r="C297" s="238"/>
      <c r="D297" s="533"/>
      <c r="E297" s="239" t="s">
        <v>483</v>
      </c>
      <c r="F297" s="238"/>
      <c r="G297" s="312"/>
      <c r="H297" s="300"/>
      <c r="I297" s="285"/>
      <c r="J297" s="294"/>
    </row>
    <row r="298" spans="1:10" s="150" customFormat="1" ht="28.8">
      <c r="B298" s="381" t="s">
        <v>432</v>
      </c>
      <c r="C298" s="382" t="s">
        <v>1130</v>
      </c>
      <c r="D298" s="317" t="str">
        <f>COMPOSIÇÕES!B6</f>
        <v>FDE - 07/2023</v>
      </c>
      <c r="E298" s="477" t="s">
        <v>1131</v>
      </c>
      <c r="F298" s="382" t="s">
        <v>541</v>
      </c>
      <c r="G298" s="316">
        <v>5</v>
      </c>
      <c r="H298" s="287">
        <f>COMPOSIÇÕES!$J$6</f>
        <v>407.8057</v>
      </c>
      <c r="I298" s="287">
        <f>H298+(H298*$J$4)</f>
        <v>487.3278115</v>
      </c>
      <c r="J298" s="384">
        <f>G298*I298</f>
        <v>2436.6390575</v>
      </c>
    </row>
    <row r="299" spans="1:10" s="150" customFormat="1" ht="33.75" customHeight="1">
      <c r="B299" s="381" t="s">
        <v>794</v>
      </c>
      <c r="C299" s="382">
        <f t="shared" ref="C299:J299" si="26">C430</f>
        <v>37524</v>
      </c>
      <c r="D299" s="383" t="str">
        <f t="shared" si="26"/>
        <v>SINAPI SP - 08/2023</v>
      </c>
      <c r="E299" s="388" t="str">
        <f t="shared" si="26"/>
        <v>ISOLAMENTO DE OBRA COM TELA PLASTICA COM MALHA DE 5MM E ESTRUTURA DE MADEIRA PONTALETEADA</v>
      </c>
      <c r="F299" s="382" t="str">
        <f t="shared" si="26"/>
        <v>M²</v>
      </c>
      <c r="G299" s="316">
        <f t="shared" si="26"/>
        <v>40</v>
      </c>
      <c r="H299" s="287">
        <f t="shared" si="26"/>
        <v>2</v>
      </c>
      <c r="I299" s="287">
        <f t="shared" si="26"/>
        <v>2.39</v>
      </c>
      <c r="J299" s="384">
        <f t="shared" si="26"/>
        <v>95.600000000000009</v>
      </c>
    </row>
    <row r="300" spans="1:10" s="261" customFormat="1">
      <c r="B300" s="577" t="s">
        <v>587</v>
      </c>
      <c r="C300" s="578"/>
      <c r="D300" s="578"/>
      <c r="E300" s="578"/>
      <c r="F300" s="578"/>
      <c r="G300" s="578"/>
      <c r="H300" s="578"/>
      <c r="I300" s="578"/>
      <c r="J300" s="296">
        <f>J298+J299</f>
        <v>2532.2390574999999</v>
      </c>
    </row>
    <row r="301" spans="1:10" s="147" customFormat="1">
      <c r="B301" s="237" t="s">
        <v>574</v>
      </c>
      <c r="C301" s="238"/>
      <c r="D301" s="533"/>
      <c r="E301" s="239" t="s">
        <v>525</v>
      </c>
      <c r="F301" s="238"/>
      <c r="G301" s="312"/>
      <c r="H301" s="300"/>
      <c r="I301" s="285"/>
      <c r="J301" s="294"/>
    </row>
    <row r="302" spans="1:10" s="276" customFormat="1" ht="28.8">
      <c r="B302" s="381" t="s">
        <v>575</v>
      </c>
      <c r="C302" s="382" t="s">
        <v>711</v>
      </c>
      <c r="D302" s="383" t="str">
        <f>COMPOSIÇÕES!B10</f>
        <v>SINAPI SP - 08/2023</v>
      </c>
      <c r="E302" s="487" t="s">
        <v>2404</v>
      </c>
      <c r="F302" s="382" t="s">
        <v>431</v>
      </c>
      <c r="G302" s="315">
        <v>25</v>
      </c>
      <c r="H302" s="290">
        <f>SUM(COMPOSIÇÕES!G11:G13)</f>
        <v>328.17395199999999</v>
      </c>
      <c r="I302" s="287">
        <f>COMPOSIÇÕES!J10</f>
        <v>392.16787263999993</v>
      </c>
      <c r="J302" s="384">
        <f t="shared" ref="J302" si="27">G302*I302</f>
        <v>9804.1968159999979</v>
      </c>
    </row>
    <row r="303" spans="1:10" s="150" customFormat="1" ht="86.4">
      <c r="B303" s="381" t="s">
        <v>1409</v>
      </c>
      <c r="C303" s="382" t="s">
        <v>711</v>
      </c>
      <c r="D303" s="383" t="str">
        <f>COMPOSIÇÕES!B14</f>
        <v>SINAPI SP - 08/2023</v>
      </c>
      <c r="E303" s="344" t="s">
        <v>754</v>
      </c>
      <c r="F303" s="382" t="s">
        <v>412</v>
      </c>
      <c r="G303" s="315">
        <v>20</v>
      </c>
      <c r="H303" s="290">
        <f>COMPOSIÇÕES!G15+COMPOSIÇÕES!G16+COMPOSIÇÕES!G17+COMPOSIÇÕES!G18</f>
        <v>37.264400000000002</v>
      </c>
      <c r="I303" s="287">
        <f>COMPOSIÇÕES!$J$14</f>
        <v>44.530958000000005</v>
      </c>
      <c r="J303" s="384">
        <f>COMPOSIÇÕES!J14</f>
        <v>44.530958000000005</v>
      </c>
    </row>
    <row r="304" spans="1:10" s="150" customFormat="1" ht="86.4">
      <c r="B304" s="381" t="s">
        <v>1410</v>
      </c>
      <c r="C304" s="382" t="s">
        <v>711</v>
      </c>
      <c r="D304" s="383" t="str">
        <f>COMPOSIÇÕES!B19</f>
        <v>SINAPI SP - 08/2023</v>
      </c>
      <c r="E304" s="344" t="s">
        <v>755</v>
      </c>
      <c r="F304" s="382" t="s">
        <v>412</v>
      </c>
      <c r="G304" s="315">
        <v>2</v>
      </c>
      <c r="H304" s="290">
        <f>SUM(COMPOSIÇÕES!$G$20:$G$22)</f>
        <v>67.664999999999992</v>
      </c>
      <c r="I304" s="287">
        <f>COMPOSIÇÕES!$J$19</f>
        <v>82.735824999999991</v>
      </c>
      <c r="J304" s="384">
        <f t="shared" ref="J304:J316" si="28">G304*I304</f>
        <v>165.47164999999998</v>
      </c>
    </row>
    <row r="305" spans="1:10" s="150" customFormat="1" ht="86.4">
      <c r="B305" s="381" t="s">
        <v>1411</v>
      </c>
      <c r="C305" s="382" t="s">
        <v>711</v>
      </c>
      <c r="D305" s="383" t="str">
        <f>COMPOSIÇÕES!B117</f>
        <v>SINAPI SP - 08/2023</v>
      </c>
      <c r="E305" s="344" t="s">
        <v>804</v>
      </c>
      <c r="F305" s="382" t="s">
        <v>412</v>
      </c>
      <c r="G305" s="315">
        <v>18</v>
      </c>
      <c r="H305" s="290">
        <f>SUM(COMPOSIÇÕES!$G$118:$G$120)</f>
        <v>92.086000000000013</v>
      </c>
      <c r="I305" s="287">
        <f>COMPOSIÇÕES!$J$117</f>
        <v>112.69806</v>
      </c>
      <c r="J305" s="384">
        <f t="shared" si="28"/>
        <v>2028.5650799999999</v>
      </c>
    </row>
    <row r="306" spans="1:10" s="150" customFormat="1" ht="86.4">
      <c r="B306" s="381" t="s">
        <v>1412</v>
      </c>
      <c r="C306" s="382" t="s">
        <v>711</v>
      </c>
      <c r="D306" s="383" t="str">
        <f>COMPOSIÇÕES!B24</f>
        <v>SINAPI SP - 08/2023</v>
      </c>
      <c r="E306" s="344" t="s">
        <v>747</v>
      </c>
      <c r="F306" s="382" t="s">
        <v>412</v>
      </c>
      <c r="G306" s="315">
        <v>52</v>
      </c>
      <c r="H306" s="290">
        <f>SUM(COMPOSIÇÕES!$G$25:$G$27)</f>
        <v>51.792000000000002</v>
      </c>
      <c r="I306" s="287">
        <f>COMPOSIÇÕES!$J$24</f>
        <v>63.719789999999996</v>
      </c>
      <c r="J306" s="384">
        <f t="shared" si="28"/>
        <v>3313.4290799999999</v>
      </c>
    </row>
    <row r="307" spans="1:10" s="393" customFormat="1" ht="86.4">
      <c r="A307" s="150"/>
      <c r="B307" s="381" t="s">
        <v>1413</v>
      </c>
      <c r="C307" s="394" t="s">
        <v>711</v>
      </c>
      <c r="D307" s="389" t="str">
        <f>COMPOSIÇÕES!B29</f>
        <v xml:space="preserve">SINAPI SP - 08/2023 </v>
      </c>
      <c r="E307" s="395" t="s">
        <v>748</v>
      </c>
      <c r="F307" s="394" t="s">
        <v>412</v>
      </c>
      <c r="G307" s="315">
        <v>52</v>
      </c>
      <c r="H307" s="392">
        <f>SUM(COMPOSIÇÕES!$G$30:$G$32)</f>
        <v>82.828000000000003</v>
      </c>
      <c r="I307" s="396">
        <f>COMPOSIÇÕES!$J$29</f>
        <v>102.09840999999999</v>
      </c>
      <c r="J307" s="397">
        <f t="shared" si="28"/>
        <v>5309.1173199999994</v>
      </c>
    </row>
    <row r="308" spans="1:10" s="393" customFormat="1" ht="28.8">
      <c r="A308" s="150"/>
      <c r="B308" s="381" t="s">
        <v>1414</v>
      </c>
      <c r="C308" s="394" t="str">
        <f>COMPOSIÇÕES!A8</f>
        <v>22.02.030</v>
      </c>
      <c r="D308" s="389" t="str">
        <f>COMPOSIÇÕES!B8</f>
        <v>CDHU - BOLETIM 191</v>
      </c>
      <c r="E308" s="489" t="str">
        <f>COMPOSIÇÕES!C8</f>
        <v>Forro em painéis de gesso acartonado, espessura de 12,5mm, fixo</v>
      </c>
      <c r="F308" s="394" t="str">
        <f>COMPOSIÇÕES!D8</f>
        <v>M²</v>
      </c>
      <c r="G308" s="315">
        <f>7.05*0.55*2*13</f>
        <v>100.81500000000001</v>
      </c>
      <c r="H308" s="392">
        <f>COMPOSIÇÕES!G9</f>
        <v>99.47</v>
      </c>
      <c r="I308" s="396">
        <f>COMPOSIÇÕES!J8</f>
        <v>118.86664999999999</v>
      </c>
      <c r="J308" s="397">
        <f t="shared" si="28"/>
        <v>11983.54131975</v>
      </c>
    </row>
    <row r="309" spans="1:10" s="150" customFormat="1" ht="57.6">
      <c r="B309" s="381" t="s">
        <v>1415</v>
      </c>
      <c r="C309" s="382" t="s">
        <v>711</v>
      </c>
      <c r="D309" s="383" t="str">
        <f>COMPOSIÇÕES!B36</f>
        <v xml:space="preserve">SINAPI SP - 08/2023 </v>
      </c>
      <c r="E309" s="398" t="s">
        <v>756</v>
      </c>
      <c r="F309" s="382" t="s">
        <v>413</v>
      </c>
      <c r="G309" s="315">
        <v>600</v>
      </c>
      <c r="H309" s="287">
        <f>SUM(COMPOSIÇÕES!$G$37:$G$38)</f>
        <v>75</v>
      </c>
      <c r="I309" s="287">
        <f>COMPOSIÇÕES!$J$36</f>
        <v>101.5033</v>
      </c>
      <c r="J309" s="384">
        <f t="shared" si="28"/>
        <v>60901.979999999996</v>
      </c>
    </row>
    <row r="310" spans="1:10" s="335" customFormat="1" ht="28.8">
      <c r="A310" s="150"/>
      <c r="B310" s="381" t="s">
        <v>1416</v>
      </c>
      <c r="C310" s="382" t="s">
        <v>711</v>
      </c>
      <c r="D310" s="383" t="str">
        <f>COMPOSIÇÕES!B44</f>
        <v>CDHU - BOLETIM 191</v>
      </c>
      <c r="E310" s="388" t="s">
        <v>1042</v>
      </c>
      <c r="F310" s="382" t="s">
        <v>431</v>
      </c>
      <c r="G310" s="315">
        <v>11</v>
      </c>
      <c r="H310" s="287">
        <f>COMPOSIÇÕES!G45</f>
        <v>248.91654375000002</v>
      </c>
      <c r="I310" s="287">
        <f>COMPOSIÇÕES!$J$44</f>
        <v>297.45526978125002</v>
      </c>
      <c r="J310" s="384">
        <f t="shared" si="28"/>
        <v>3272.0079675937504</v>
      </c>
    </row>
    <row r="311" spans="1:10" s="335" customFormat="1" ht="28.8">
      <c r="A311" s="150"/>
      <c r="B311" s="381" t="s">
        <v>1417</v>
      </c>
      <c r="C311" s="382" t="s">
        <v>711</v>
      </c>
      <c r="D311" s="383" t="str">
        <f>COMPOSIÇÕES!B46</f>
        <v>CDHU - BOLETIM 191</v>
      </c>
      <c r="E311" s="388" t="s">
        <v>1043</v>
      </c>
      <c r="F311" s="382" t="s">
        <v>431</v>
      </c>
      <c r="G311" s="315">
        <v>1</v>
      </c>
      <c r="H311" s="287">
        <f>COMPOSIÇÕES!G47</f>
        <v>49.947131250000005</v>
      </c>
      <c r="I311" s="287">
        <f>COMPOSIÇÕES!$J$46</f>
        <v>59.68682184375001</v>
      </c>
      <c r="J311" s="384">
        <f t="shared" si="28"/>
        <v>59.68682184375001</v>
      </c>
    </row>
    <row r="312" spans="1:10" s="335" customFormat="1" ht="28.8">
      <c r="A312" s="150"/>
      <c r="B312" s="381" t="s">
        <v>1418</v>
      </c>
      <c r="C312" s="382" t="s">
        <v>711</v>
      </c>
      <c r="D312" s="383" t="str">
        <f>COMPOSIÇÕES!B48</f>
        <v>CDHU - BOLETIM 191</v>
      </c>
      <c r="E312" s="388" t="s">
        <v>1044</v>
      </c>
      <c r="F312" s="382" t="s">
        <v>431</v>
      </c>
      <c r="G312" s="315">
        <v>1</v>
      </c>
      <c r="H312" s="287">
        <f>COMPOSIÇÕES!G49</f>
        <v>82.875240000000005</v>
      </c>
      <c r="I312" s="287">
        <f>COMPOSIÇÕES!$J$48</f>
        <v>99.035911800000008</v>
      </c>
      <c r="J312" s="384">
        <f t="shared" si="28"/>
        <v>99.035911800000008</v>
      </c>
    </row>
    <row r="313" spans="1:10" s="150" customFormat="1" ht="28.8">
      <c r="B313" s="381" t="s">
        <v>1419</v>
      </c>
      <c r="C313" s="382" t="s">
        <v>711</v>
      </c>
      <c r="D313" s="383" t="str">
        <f>COMPOSIÇÕES!B122</f>
        <v>CDHU - BOLETIM 191</v>
      </c>
      <c r="E313" s="388" t="s">
        <v>809</v>
      </c>
      <c r="F313" s="382" t="s">
        <v>431</v>
      </c>
      <c r="G313" s="317">
        <v>1</v>
      </c>
      <c r="H313" s="287">
        <f>SUM(COMPOSIÇÕES!$G$123:$G$123)</f>
        <v>33.890000000000008</v>
      </c>
      <c r="I313" s="287">
        <f>COMPOSIÇÕES!$J$122</f>
        <v>40.498550000000009</v>
      </c>
      <c r="J313" s="384">
        <f t="shared" si="28"/>
        <v>40.498550000000009</v>
      </c>
    </row>
    <row r="314" spans="1:10" s="150" customFormat="1" ht="28.8">
      <c r="B314" s="381" t="s">
        <v>1420</v>
      </c>
      <c r="C314" s="382" t="s">
        <v>711</v>
      </c>
      <c r="D314" s="383" t="str">
        <f>COMPOSIÇÕES!B123</f>
        <v>CDHU - BOLETIM 191</v>
      </c>
      <c r="E314" s="388" t="s">
        <v>1119</v>
      </c>
      <c r="F314" s="382" t="s">
        <v>431</v>
      </c>
      <c r="G314" s="317">
        <v>11</v>
      </c>
      <c r="H314" s="287">
        <f>SUM(COMPOSIÇÕES!$G$125:$G$125)</f>
        <v>203.34</v>
      </c>
      <c r="I314" s="287">
        <f>COMPOSIÇÕES!$J$124</f>
        <v>242.9913</v>
      </c>
      <c r="J314" s="384">
        <f t="shared" si="28"/>
        <v>2672.9043000000001</v>
      </c>
    </row>
    <row r="315" spans="1:10" s="150" customFormat="1" ht="28.8">
      <c r="B315" s="381" t="s">
        <v>1421</v>
      </c>
      <c r="C315" s="382" t="s">
        <v>711</v>
      </c>
      <c r="D315" s="383" t="str">
        <f>COMPOSIÇÕES!B124</f>
        <v>CDHU - BOLETIM 191</v>
      </c>
      <c r="E315" s="388" t="s">
        <v>1117</v>
      </c>
      <c r="F315" s="382" t="s">
        <v>431</v>
      </c>
      <c r="G315" s="315">
        <v>1</v>
      </c>
      <c r="H315" s="287">
        <f>COMPOSIÇÕES!G57</f>
        <v>16.945000000000004</v>
      </c>
      <c r="I315" s="287">
        <f>COMPOSIÇÕES!$J$56</f>
        <v>20.249275000000004</v>
      </c>
      <c r="J315" s="384">
        <f t="shared" si="28"/>
        <v>20.249275000000004</v>
      </c>
    </row>
    <row r="316" spans="1:10" s="150" customFormat="1" ht="28.8">
      <c r="A316" s="271"/>
      <c r="B316" s="381" t="s">
        <v>1422</v>
      </c>
      <c r="C316" s="382" t="s">
        <v>711</v>
      </c>
      <c r="D316" s="383" t="str">
        <f>COMPOSIÇÕES!B58</f>
        <v xml:space="preserve">SINAPI SP - 08/2023 </v>
      </c>
      <c r="E316" s="388" t="s">
        <v>758</v>
      </c>
      <c r="F316" s="382" t="s">
        <v>412</v>
      </c>
      <c r="G316" s="315">
        <v>110</v>
      </c>
      <c r="H316" s="287">
        <f>COMPOSIÇÕES!G59+COMPOSIÇÕES!G60+COMPOSIÇÕES!G61</f>
        <v>31.499000000000002</v>
      </c>
      <c r="I316" s="287">
        <f>COMPOSIÇÕES!$J$58</f>
        <v>37.641304999999996</v>
      </c>
      <c r="J316" s="384">
        <f t="shared" si="28"/>
        <v>4140.5435499999994</v>
      </c>
    </row>
    <row r="317" spans="1:10" s="150" customFormat="1" ht="28.8">
      <c r="A317" s="271"/>
      <c r="B317" s="381" t="s">
        <v>1423</v>
      </c>
      <c r="C317" s="382" t="s">
        <v>711</v>
      </c>
      <c r="D317" s="383" t="str">
        <f>COMPOSIÇÕES!B64</f>
        <v>SINAPI SP - 08/2023</v>
      </c>
      <c r="E317" s="388" t="s">
        <v>697</v>
      </c>
      <c r="F317" s="382" t="s">
        <v>431</v>
      </c>
      <c r="G317" s="315">
        <v>25</v>
      </c>
      <c r="H317" s="287">
        <f>SUM(COMPOSIÇÕES!$G$65:$G$67)</f>
        <v>92.32</v>
      </c>
      <c r="I317" s="287">
        <f>COMPOSIÇÕES!$J$64</f>
        <v>110.32240000000002</v>
      </c>
      <c r="J317" s="384">
        <f t="shared" ref="J317:J321" si="29">I317*G317</f>
        <v>2758.0600000000004</v>
      </c>
    </row>
    <row r="318" spans="1:10" s="150" customFormat="1" ht="28.8">
      <c r="A318" s="271"/>
      <c r="B318" s="381" t="s">
        <v>1424</v>
      </c>
      <c r="C318" s="382" t="s">
        <v>711</v>
      </c>
      <c r="D318" s="383" t="str">
        <f>COMPOSIÇÕES!B68</f>
        <v xml:space="preserve">SINAPI SP - 08/2023 </v>
      </c>
      <c r="E318" s="388" t="s">
        <v>762</v>
      </c>
      <c r="F318" s="382" t="s">
        <v>415</v>
      </c>
      <c r="G318" s="315">
        <v>8</v>
      </c>
      <c r="H318" s="287">
        <f>SUM(COMPOSIÇÕES!$G$69:$G$70)</f>
        <v>58.91</v>
      </c>
      <c r="I318" s="287">
        <f>COMPOSIÇÕES!$J$68</f>
        <v>70.397449999999992</v>
      </c>
      <c r="J318" s="384">
        <f t="shared" si="29"/>
        <v>563.17959999999994</v>
      </c>
    </row>
    <row r="319" spans="1:10" s="150" customFormat="1" ht="28.8">
      <c r="A319" s="271"/>
      <c r="B319" s="381" t="s">
        <v>1425</v>
      </c>
      <c r="C319" s="399" t="s">
        <v>763</v>
      </c>
      <c r="D319" s="273" t="str">
        <f>COMPOSIÇÕES!B71</f>
        <v xml:space="preserve">SINAPI SP - 08/2023 </v>
      </c>
      <c r="E319" s="400" t="s">
        <v>761</v>
      </c>
      <c r="F319" s="273" t="s">
        <v>541</v>
      </c>
      <c r="G319" s="316">
        <v>2</v>
      </c>
      <c r="H319" s="287">
        <f>SUM(COMPOSIÇÕES!$G$72:$G$72)</f>
        <v>28.8</v>
      </c>
      <c r="I319" s="287">
        <f>COMPOSIÇÕES!$J$71</f>
        <v>34.416000000000004</v>
      </c>
      <c r="J319" s="384">
        <f t="shared" si="29"/>
        <v>68.832000000000008</v>
      </c>
    </row>
    <row r="320" spans="1:10" s="150" customFormat="1">
      <c r="A320" s="271"/>
      <c r="B320" s="381" t="s">
        <v>2408</v>
      </c>
      <c r="C320" s="399" t="s">
        <v>759</v>
      </c>
      <c r="D320" s="273" t="str">
        <f>COMPOSIÇÕES!B73</f>
        <v>FDE - 07/2023</v>
      </c>
      <c r="E320" s="400" t="s">
        <v>760</v>
      </c>
      <c r="F320" s="273" t="s">
        <v>701</v>
      </c>
      <c r="G320" s="316">
        <v>1</v>
      </c>
      <c r="H320" s="530">
        <f>VLOOKUP(C320,COMPOSIÇÕES!A:J,6,FALSE)</f>
        <v>38.485355648535567</v>
      </c>
      <c r="I320" s="287">
        <f>COMPOSIÇÕES!$J$73</f>
        <v>45.99</v>
      </c>
      <c r="J320" s="384">
        <f t="shared" si="29"/>
        <v>45.99</v>
      </c>
    </row>
    <row r="321" spans="1:10" s="150" customFormat="1">
      <c r="A321" s="271"/>
      <c r="B321" s="381" t="s">
        <v>2438</v>
      </c>
      <c r="C321" s="399" t="s">
        <v>764</v>
      </c>
      <c r="D321" s="273" t="str">
        <f>COMPOSIÇÕES!B74</f>
        <v>FDE - 07/2023</v>
      </c>
      <c r="E321" s="400" t="s">
        <v>765</v>
      </c>
      <c r="F321" s="273" t="s">
        <v>541</v>
      </c>
      <c r="G321" s="316">
        <v>3</v>
      </c>
      <c r="H321" s="530">
        <f>VLOOKUP(C321,COMPOSIÇÕES!A:J,6,FALSE)</f>
        <v>210.81171548117152</v>
      </c>
      <c r="I321" s="287">
        <f>COMPOSIÇÕES!$J$74</f>
        <v>251.91999999999996</v>
      </c>
      <c r="J321" s="384">
        <f t="shared" si="29"/>
        <v>755.75999999999988</v>
      </c>
    </row>
    <row r="322" spans="1:10" s="147" customFormat="1">
      <c r="B322" s="577" t="s">
        <v>585</v>
      </c>
      <c r="C322" s="578"/>
      <c r="D322" s="578"/>
      <c r="E322" s="578"/>
      <c r="F322" s="578"/>
      <c r="G322" s="578"/>
      <c r="H322" s="578"/>
      <c r="I322" s="578"/>
      <c r="J322" s="296">
        <f>SUM(J302:J321)</f>
        <v>108047.58019998748</v>
      </c>
    </row>
    <row r="323" spans="1:10" s="263" customFormat="1">
      <c r="B323" s="237" t="s">
        <v>576</v>
      </c>
      <c r="C323" s="238"/>
      <c r="D323" s="533"/>
      <c r="E323" s="239" t="s">
        <v>526</v>
      </c>
      <c r="F323" s="238"/>
      <c r="G323" s="312"/>
      <c r="H323" s="300"/>
      <c r="I323" s="285"/>
      <c r="J323" s="294"/>
    </row>
    <row r="324" spans="1:10" s="276" customFormat="1">
      <c r="A324" s="263"/>
      <c r="B324" s="381" t="s">
        <v>577</v>
      </c>
      <c r="C324" s="383" t="str">
        <f>COMPOSIÇÕES!A75</f>
        <v>COMPOSIÇÃO</v>
      </c>
      <c r="D324" s="383" t="str">
        <f>COMPOSIÇÕES!B75</f>
        <v>FDE - 07/2023</v>
      </c>
      <c r="E324" s="344" t="s">
        <v>745</v>
      </c>
      <c r="F324" s="382" t="s">
        <v>431</v>
      </c>
      <c r="G324" s="316">
        <v>110</v>
      </c>
      <c r="H324" s="290">
        <f>SUM(COMPOSIÇÕES!$G$76:$G$78)</f>
        <v>34.013252032520327</v>
      </c>
      <c r="I324" s="287">
        <f>COMPOSIÇÕES!$J$75</f>
        <v>40.645836178861792</v>
      </c>
      <c r="J324" s="384">
        <f t="shared" ref="J324:J339" si="30">G324*I324</f>
        <v>4471.0419796747974</v>
      </c>
    </row>
    <row r="325" spans="1:10" s="276" customFormat="1" ht="28.8">
      <c r="A325" s="263"/>
      <c r="B325" s="381" t="s">
        <v>578</v>
      </c>
      <c r="C325" s="383" t="str">
        <f>COMPOSIÇÕES!A136</f>
        <v>09.85.062</v>
      </c>
      <c r="D325" s="383" t="str">
        <f>COMPOSIÇÕES!B136</f>
        <v>FDE - 07/2023</v>
      </c>
      <c r="E325" s="344" t="s">
        <v>816</v>
      </c>
      <c r="F325" s="382" t="s">
        <v>431</v>
      </c>
      <c r="G325" s="316">
        <v>1</v>
      </c>
      <c r="H325" s="290">
        <f>SUM(COMPOSIÇÕES!$G$137:$G$139)</f>
        <v>28.625999999999998</v>
      </c>
      <c r="I325" s="287">
        <f>COMPOSIÇÕES!$J$136</f>
        <v>34.208069999999999</v>
      </c>
      <c r="J325" s="384">
        <f t="shared" si="30"/>
        <v>34.208069999999999</v>
      </c>
    </row>
    <row r="326" spans="1:10" s="276" customFormat="1" ht="43.2">
      <c r="A326" s="263"/>
      <c r="B326" s="381" t="s">
        <v>579</v>
      </c>
      <c r="C326" s="382" t="s">
        <v>711</v>
      </c>
      <c r="D326" s="383" t="str">
        <f>COMPOSIÇÕES!B79</f>
        <v>FDE - 07/2023 + SINAPI SP - 08/2023</v>
      </c>
      <c r="E326" s="344" t="s">
        <v>742</v>
      </c>
      <c r="F326" s="382" t="s">
        <v>431</v>
      </c>
      <c r="G326" s="316">
        <v>13</v>
      </c>
      <c r="H326" s="290">
        <f>SUM(COMPOSIÇÕES!$G$80:$G$82)</f>
        <v>6.9960000000000004</v>
      </c>
      <c r="I326" s="287">
        <f>COMPOSIÇÕES!$J$79</f>
        <v>8.36022</v>
      </c>
      <c r="J326" s="384">
        <f t="shared" si="30"/>
        <v>108.68286000000001</v>
      </c>
    </row>
    <row r="327" spans="1:10" s="276" customFormat="1" ht="43.2">
      <c r="A327" s="263"/>
      <c r="B327" s="381" t="s">
        <v>580</v>
      </c>
      <c r="C327" s="382" t="s">
        <v>711</v>
      </c>
      <c r="D327" s="383" t="str">
        <f>COMPOSIÇÕES!B128</f>
        <v>FDE - 07/2023 + SINAPI SP - 08/2023</v>
      </c>
      <c r="E327" s="344" t="s">
        <v>812</v>
      </c>
      <c r="F327" s="382" t="s">
        <v>431</v>
      </c>
      <c r="G327" s="316">
        <v>2</v>
      </c>
      <c r="H327" s="290">
        <f>SUM(COMPOSIÇÕES!$G$129:$G$131)</f>
        <v>23.056000000000001</v>
      </c>
      <c r="I327" s="287">
        <f>COMPOSIÇÕES!$J$128</f>
        <v>27.551920000000003</v>
      </c>
      <c r="J327" s="384">
        <f t="shared" si="30"/>
        <v>55.103840000000005</v>
      </c>
    </row>
    <row r="328" spans="1:10" s="276" customFormat="1">
      <c r="A328" s="263"/>
      <c r="B328" s="381" t="s">
        <v>581</v>
      </c>
      <c r="C328" s="382" t="s">
        <v>739</v>
      </c>
      <c r="D328" s="383" t="str">
        <f>COMPOSIÇÕES!B83</f>
        <v>FDE - 07/2023</v>
      </c>
      <c r="E328" s="344" t="s">
        <v>766</v>
      </c>
      <c r="F328" s="382" t="s">
        <v>431</v>
      </c>
      <c r="G328" s="316">
        <v>9</v>
      </c>
      <c r="H328" s="530">
        <f>VLOOKUP(C328,COMPOSIÇÕES!A:J,6,FALSE)</f>
        <v>32.35146443514644</v>
      </c>
      <c r="I328" s="287">
        <f>COMPOSIÇÕES!$J$83</f>
        <v>38.659999999999997</v>
      </c>
      <c r="J328" s="384">
        <f t="shared" si="30"/>
        <v>347.93999999999994</v>
      </c>
    </row>
    <row r="329" spans="1:10" s="276" customFormat="1">
      <c r="A329" s="263"/>
      <c r="B329" s="381" t="s">
        <v>1426</v>
      </c>
      <c r="C329" s="382" t="s">
        <v>739</v>
      </c>
      <c r="D329" s="535" t="str">
        <f>VLOOKUP(C329,COMPOSIÇÕES!A:J,2,FALSE)</f>
        <v>FDE - 07/2023</v>
      </c>
      <c r="E329" s="344" t="s">
        <v>767</v>
      </c>
      <c r="F329" s="382" t="s">
        <v>431</v>
      </c>
      <c r="G329" s="316">
        <v>36</v>
      </c>
      <c r="H329" s="530">
        <f>VLOOKUP(C329,COMPOSIÇÕES!A:J,6,FALSE)</f>
        <v>32.35146443514644</v>
      </c>
      <c r="I329" s="287">
        <f>COMPOSIÇÕES!$J$83</f>
        <v>38.659999999999997</v>
      </c>
      <c r="J329" s="384">
        <f t="shared" si="30"/>
        <v>1391.7599999999998</v>
      </c>
    </row>
    <row r="330" spans="1:10" s="276" customFormat="1">
      <c r="A330" s="263"/>
      <c r="B330" s="381" t="s">
        <v>1427</v>
      </c>
      <c r="C330" s="382" t="s">
        <v>739</v>
      </c>
      <c r="D330" s="535" t="str">
        <f>VLOOKUP(C330,COMPOSIÇÕES!A:J,2,FALSE)</f>
        <v>FDE - 07/2023</v>
      </c>
      <c r="E330" s="344" t="s">
        <v>768</v>
      </c>
      <c r="F330" s="382" t="s">
        <v>431</v>
      </c>
      <c r="G330" s="316">
        <v>17</v>
      </c>
      <c r="H330" s="530">
        <f>VLOOKUP(C330,COMPOSIÇÕES!A:J,6,FALSE)</f>
        <v>32.35146443514644</v>
      </c>
      <c r="I330" s="287">
        <f>COMPOSIÇÕES!$J$83</f>
        <v>38.659999999999997</v>
      </c>
      <c r="J330" s="384">
        <f t="shared" si="30"/>
        <v>657.21999999999991</v>
      </c>
    </row>
    <row r="331" spans="1:10" s="276" customFormat="1">
      <c r="A331" s="263"/>
      <c r="B331" s="381" t="s">
        <v>1428</v>
      </c>
      <c r="C331" s="382" t="s">
        <v>738</v>
      </c>
      <c r="D331" s="535" t="str">
        <f>VLOOKUP(C331,COMPOSIÇÕES!A:J,2,FALSE)</f>
        <v>FDE - 07/2023</v>
      </c>
      <c r="E331" s="344" t="s">
        <v>817</v>
      </c>
      <c r="F331" s="382" t="s">
        <v>431</v>
      </c>
      <c r="G331" s="316">
        <v>2</v>
      </c>
      <c r="H331" s="530">
        <f>VLOOKUP(C331,COMPOSIÇÕES!A:J,6,FALSE)</f>
        <v>37.087866108786606</v>
      </c>
      <c r="I331" s="287">
        <f>COMPOSIÇÕES!$J$84</f>
        <v>44.319999999999993</v>
      </c>
      <c r="J331" s="384">
        <f t="shared" si="30"/>
        <v>88.639999999999986</v>
      </c>
    </row>
    <row r="332" spans="1:10" s="276" customFormat="1">
      <c r="A332" s="263"/>
      <c r="B332" s="381" t="s">
        <v>1429</v>
      </c>
      <c r="C332" s="382" t="s">
        <v>738</v>
      </c>
      <c r="D332" s="383" t="str">
        <f>COMPOSIÇÕES!B84</f>
        <v>FDE - 07/2023</v>
      </c>
      <c r="E332" s="344" t="s">
        <v>769</v>
      </c>
      <c r="F332" s="382" t="s">
        <v>431</v>
      </c>
      <c r="G332" s="316">
        <v>9</v>
      </c>
      <c r="H332" s="530">
        <f>VLOOKUP(C332,COMPOSIÇÕES!A:J,6,FALSE)</f>
        <v>37.087866108786606</v>
      </c>
      <c r="I332" s="287">
        <f>COMPOSIÇÕES!$J$84</f>
        <v>44.319999999999993</v>
      </c>
      <c r="J332" s="384">
        <f t="shared" si="30"/>
        <v>398.87999999999994</v>
      </c>
    </row>
    <row r="333" spans="1:10" s="276" customFormat="1">
      <c r="A333" s="263"/>
      <c r="B333" s="381" t="s">
        <v>1430</v>
      </c>
      <c r="C333" s="382" t="s">
        <v>819</v>
      </c>
      <c r="D333" s="535" t="str">
        <f>VLOOKUP(C333,COMPOSIÇÕES!A:J,2,FALSE)</f>
        <v>FDE - 07/2023</v>
      </c>
      <c r="E333" s="344" t="s">
        <v>820</v>
      </c>
      <c r="F333" s="382" t="s">
        <v>431</v>
      </c>
      <c r="G333" s="316">
        <v>1</v>
      </c>
      <c r="H333" s="530">
        <f>COMPOSIÇÕES!F140</f>
        <v>68.63</v>
      </c>
      <c r="I333" s="287">
        <f>COMPOSIÇÕES!$J$140</f>
        <v>82.01285</v>
      </c>
      <c r="J333" s="384">
        <f t="shared" si="30"/>
        <v>82.01285</v>
      </c>
    </row>
    <row r="334" spans="1:10" s="276" customFormat="1">
      <c r="A334" s="263"/>
      <c r="B334" s="381" t="s">
        <v>1431</v>
      </c>
      <c r="C334" s="382" t="s">
        <v>735</v>
      </c>
      <c r="D334" s="383" t="s">
        <v>2474</v>
      </c>
      <c r="E334" s="344" t="s">
        <v>736</v>
      </c>
      <c r="F334" s="382" t="s">
        <v>431</v>
      </c>
      <c r="G334" s="316">
        <v>110</v>
      </c>
      <c r="H334" s="530">
        <f>VLOOKUP(C334,COMPOSIÇÕES!A:J,6,FALSE)</f>
        <v>7.8158995815899575</v>
      </c>
      <c r="I334" s="287">
        <f>COMPOSIÇÕES!$J$89</f>
        <v>9.34</v>
      </c>
      <c r="J334" s="384">
        <f t="shared" si="30"/>
        <v>1027.4000000000001</v>
      </c>
    </row>
    <row r="335" spans="1:10" s="276" customFormat="1" ht="33" customHeight="1">
      <c r="A335" s="263"/>
      <c r="B335" s="381" t="s">
        <v>1432</v>
      </c>
      <c r="C335" s="382" t="str">
        <f>COMPOSIÇÕES!A91</f>
        <v>38.21.920</v>
      </c>
      <c r="D335" s="383" t="str">
        <f>COMPOSIÇÕES!B91</f>
        <v>CDHU - BOLETIM 191</v>
      </c>
      <c r="E335" s="479" t="str">
        <f>COMPOSIÇÕES!C91</f>
        <v>Eletrocalha perfurada galvanizada a fogo, 100 x 50 mm, com acessórios</v>
      </c>
      <c r="F335" s="382" t="s">
        <v>412</v>
      </c>
      <c r="G335" s="316">
        <f>22*3</f>
        <v>66</v>
      </c>
      <c r="H335" s="530">
        <f>VLOOKUP(C335,COMPOSIÇÕES!A:J,6,FALSE)</f>
        <v>98.38</v>
      </c>
      <c r="I335" s="287">
        <f>COMPOSIÇÕES!$J$91</f>
        <v>117.5641</v>
      </c>
      <c r="J335" s="384">
        <f t="shared" si="30"/>
        <v>7759.2305999999999</v>
      </c>
    </row>
    <row r="336" spans="1:10" s="276" customFormat="1" ht="28.8">
      <c r="A336" s="263"/>
      <c r="B336" s="381" t="s">
        <v>1433</v>
      </c>
      <c r="C336" s="383" t="str">
        <f>COMPOSIÇÕES!A92</f>
        <v>38.06.040</v>
      </c>
      <c r="D336" s="383" t="str">
        <f>COMPOSIÇÕES!B92</f>
        <v>CDHU - BOLETIM 191</v>
      </c>
      <c r="E336" s="388" t="str">
        <f>COMPOSIÇÕES!C92</f>
        <v>Eletroduto galvanizado a quente conforme NBR5598 ‐ 3/4´ com acessórios</v>
      </c>
      <c r="F336" s="382" t="s">
        <v>412</v>
      </c>
      <c r="G336" s="316">
        <f>46*3</f>
        <v>138</v>
      </c>
      <c r="H336" s="530">
        <f>VLOOKUP(C336,COMPOSIÇÕES!A:J,6,FALSE)</f>
        <v>60.65</v>
      </c>
      <c r="I336" s="287">
        <f>COMPOSIÇÕES!$J$92</f>
        <v>72.476749999999996</v>
      </c>
      <c r="J336" s="384">
        <f t="shared" si="30"/>
        <v>10001.791499999999</v>
      </c>
    </row>
    <row r="337" spans="1:10" s="276" customFormat="1" ht="28.8">
      <c r="A337" s="263"/>
      <c r="B337" s="381" t="s">
        <v>1434</v>
      </c>
      <c r="C337" s="382" t="str">
        <f>COMPOSIÇÕES!A93</f>
        <v>38.06.060</v>
      </c>
      <c r="D337" s="383" t="str">
        <f>COMPOSIÇÕES!B93</f>
        <v>CDHU - BOLETIM 191</v>
      </c>
      <c r="E337" s="479" t="str">
        <f>COMPOSIÇÕES!C93</f>
        <v>Eletroduto galvanizado a quente conforme NBR5598 ‐ 1´ com acessórios</v>
      </c>
      <c r="F337" s="382" t="s">
        <v>412</v>
      </c>
      <c r="G337" s="316">
        <f>8*3</f>
        <v>24</v>
      </c>
      <c r="H337" s="530">
        <f>VLOOKUP(C337,COMPOSIÇÕES!A:J,6,FALSE)</f>
        <v>75.38</v>
      </c>
      <c r="I337" s="287">
        <f>COMPOSIÇÕES!$J$93</f>
        <v>90.079099999999997</v>
      </c>
      <c r="J337" s="384">
        <f t="shared" si="30"/>
        <v>2161.8984</v>
      </c>
    </row>
    <row r="338" spans="1:10" s="276" customFormat="1" ht="28.8">
      <c r="A338" s="263"/>
      <c r="B338" s="381" t="s">
        <v>1435</v>
      </c>
      <c r="C338" s="382" t="str">
        <f>COMPOSIÇÕES!A142</f>
        <v>38.06.100</v>
      </c>
      <c r="D338" s="383" t="str">
        <f>COMPOSIÇÕES!B142</f>
        <v>CDHU - BOLETIM 191</v>
      </c>
      <c r="E338" s="388" t="str">
        <f>COMPOSIÇÕES!C142</f>
        <v>Eletroduto galvanizado a quente conforme NBR5598 ‐ 1 1/2´ com
acessórios</v>
      </c>
      <c r="F338" s="382" t="s">
        <v>412</v>
      </c>
      <c r="G338" s="316">
        <f>4*3</f>
        <v>12</v>
      </c>
      <c r="H338" s="530">
        <f>VLOOKUP(C338,COMPOSIÇÕES!A:J,6,FALSE)</f>
        <v>111.35</v>
      </c>
      <c r="I338" s="287">
        <f>COMPOSIÇÕES!$J$142</f>
        <v>133.06324999999998</v>
      </c>
      <c r="J338" s="384">
        <f t="shared" si="30"/>
        <v>1596.7589999999998</v>
      </c>
    </row>
    <row r="339" spans="1:10" s="276" customFormat="1" ht="28.8">
      <c r="A339" s="263"/>
      <c r="B339" s="381" t="s">
        <v>1436</v>
      </c>
      <c r="C339" s="382" t="str">
        <f>COMPOSIÇÕES!A94</f>
        <v>38.06.180</v>
      </c>
      <c r="D339" s="383" t="str">
        <f>COMPOSIÇÕES!B94</f>
        <v>CDHU - BOLETIM 191</v>
      </c>
      <c r="E339" s="388" t="str">
        <f>COMPOSIÇÕES!C94</f>
        <v>Eletroduto galvanizado a quente conforme NBR5598 ‐ 4´ com acessórios</v>
      </c>
      <c r="F339" s="382" t="s">
        <v>412</v>
      </c>
      <c r="G339" s="316">
        <v>3</v>
      </c>
      <c r="H339" s="530">
        <f>VLOOKUP(C339,COMPOSIÇÕES!A:J,6,FALSE)</f>
        <v>305.01</v>
      </c>
      <c r="I339" s="287">
        <f>COMPOSIÇÕES!$J$94</f>
        <v>364.48694999999998</v>
      </c>
      <c r="J339" s="384">
        <f t="shared" si="30"/>
        <v>1093.4608499999999</v>
      </c>
    </row>
    <row r="340" spans="1:10" s="276" customFormat="1">
      <c r="A340" s="263"/>
      <c r="B340" s="381" t="s">
        <v>1437</v>
      </c>
      <c r="C340" s="383" t="str">
        <f>COMPOSIÇÕES!A95</f>
        <v>09.82.095</v>
      </c>
      <c r="D340" s="383" t="str">
        <f>COMPOSIÇÕES!B95</f>
        <v>FDE - 07/2023</v>
      </c>
      <c r="E340" s="344" t="s">
        <v>730</v>
      </c>
      <c r="F340" s="382" t="s">
        <v>412</v>
      </c>
      <c r="G340" s="316">
        <v>1</v>
      </c>
      <c r="H340" s="530">
        <f>VLOOKUP(C340,COMPOSIÇÕES!A:J,6,FALSE)</f>
        <v>50.77</v>
      </c>
      <c r="I340" s="287">
        <f>COMPOSIÇÕES!$J$95</f>
        <v>60.670150000000007</v>
      </c>
      <c r="J340" s="384">
        <f t="shared" ref="J340:J346" si="31">G340*I340</f>
        <v>60.670150000000007</v>
      </c>
    </row>
    <row r="341" spans="1:10" s="276" customFormat="1" ht="28.8">
      <c r="A341" s="263"/>
      <c r="B341" s="381" t="s">
        <v>1438</v>
      </c>
      <c r="C341" s="382">
        <v>91927</v>
      </c>
      <c r="D341" s="383" t="str">
        <f>COMPOSIÇÕES!B96</f>
        <v>SINAPI SP - 08/2023</v>
      </c>
      <c r="E341" s="344" t="s">
        <v>770</v>
      </c>
      <c r="F341" s="382" t="s">
        <v>412</v>
      </c>
      <c r="G341" s="316">
        <v>675</v>
      </c>
      <c r="H341" s="530">
        <f>VLOOKUP(C341,COMPOSIÇÕES!A:J,6,FALSE)</f>
        <v>4.8</v>
      </c>
      <c r="I341" s="287">
        <f>COMPOSIÇÕES!$J$96</f>
        <v>5.7359999999999998</v>
      </c>
      <c r="J341" s="384">
        <f t="shared" si="31"/>
        <v>3871.7999999999997</v>
      </c>
    </row>
    <row r="342" spans="1:10" s="276" customFormat="1" ht="28.8">
      <c r="A342" s="263"/>
      <c r="B342" s="381" t="s">
        <v>1439</v>
      </c>
      <c r="C342" s="382">
        <v>91927</v>
      </c>
      <c r="D342" s="535" t="str">
        <f>VLOOKUP(C342,COMPOSIÇÕES!A:J,2,FALSE)</f>
        <v>SINAPI SP - 08/2023</v>
      </c>
      <c r="E342" s="344" t="s">
        <v>771</v>
      </c>
      <c r="F342" s="382" t="s">
        <v>412</v>
      </c>
      <c r="G342" s="316">
        <v>650</v>
      </c>
      <c r="H342" s="530">
        <f>VLOOKUP(C342,COMPOSIÇÕES!A:J,6,FALSE)</f>
        <v>4.8</v>
      </c>
      <c r="I342" s="287">
        <f>COMPOSIÇÕES!$J$96</f>
        <v>5.7359999999999998</v>
      </c>
      <c r="J342" s="384">
        <f t="shared" si="31"/>
        <v>3728.3999999999996</v>
      </c>
    </row>
    <row r="343" spans="1:10" s="276" customFormat="1" ht="28.8">
      <c r="A343" s="263"/>
      <c r="B343" s="381" t="s">
        <v>1440</v>
      </c>
      <c r="C343" s="382">
        <v>91927</v>
      </c>
      <c r="D343" s="535" t="str">
        <f>VLOOKUP(C343,COMPOSIÇÕES!A:J,2,FALSE)</f>
        <v>SINAPI SP - 08/2023</v>
      </c>
      <c r="E343" s="344" t="s">
        <v>772</v>
      </c>
      <c r="F343" s="382" t="s">
        <v>412</v>
      </c>
      <c r="G343" s="316">
        <v>650</v>
      </c>
      <c r="H343" s="530">
        <f>VLOOKUP(C343,COMPOSIÇÕES!A:J,6,FALSE)</f>
        <v>4.8</v>
      </c>
      <c r="I343" s="287">
        <f>COMPOSIÇÕES!$J$96</f>
        <v>5.7359999999999998</v>
      </c>
      <c r="J343" s="384">
        <f t="shared" si="31"/>
        <v>3728.3999999999996</v>
      </c>
    </row>
    <row r="344" spans="1:10" s="276" customFormat="1" ht="28.8">
      <c r="A344" s="263"/>
      <c r="B344" s="381" t="s">
        <v>1441</v>
      </c>
      <c r="C344" s="382">
        <v>91927</v>
      </c>
      <c r="D344" s="535" t="str">
        <f>VLOOKUP(C344,COMPOSIÇÕES!A:J,2,FALSE)</f>
        <v>SINAPI SP - 08/2023</v>
      </c>
      <c r="E344" s="344" t="s">
        <v>773</v>
      </c>
      <c r="F344" s="382" t="s">
        <v>412</v>
      </c>
      <c r="G344" s="316">
        <v>300</v>
      </c>
      <c r="H344" s="530">
        <f>VLOOKUP(C344,COMPOSIÇÕES!A:J,6,FALSE)</f>
        <v>4.8</v>
      </c>
      <c r="I344" s="287">
        <f>COMPOSIÇÕES!$J$96</f>
        <v>5.7359999999999998</v>
      </c>
      <c r="J344" s="384">
        <f t="shared" si="31"/>
        <v>1720.8</v>
      </c>
    </row>
    <row r="345" spans="1:10" s="276" customFormat="1" ht="28.8">
      <c r="A345" s="263"/>
      <c r="B345" s="381" t="s">
        <v>1442</v>
      </c>
      <c r="C345" s="382">
        <v>92984</v>
      </c>
      <c r="D345" s="535" t="str">
        <f>VLOOKUP(C345,COMPOSIÇÕES!A:J,2,FALSE)</f>
        <v>SINAPI SP - 08/2023</v>
      </c>
      <c r="E345" s="344" t="s">
        <v>777</v>
      </c>
      <c r="F345" s="382" t="s">
        <v>412</v>
      </c>
      <c r="G345" s="316">
        <v>10</v>
      </c>
      <c r="H345" s="530">
        <f>VLOOKUP(C345,COMPOSIÇÕES!A:J,6,FALSE)</f>
        <v>23.65</v>
      </c>
      <c r="I345" s="287">
        <f>COMPOSIÇÕES!$J$98</f>
        <v>28.261749999999999</v>
      </c>
      <c r="J345" s="384">
        <f t="shared" si="31"/>
        <v>282.61750000000001</v>
      </c>
    </row>
    <row r="346" spans="1:10" s="276" customFormat="1" ht="28.8">
      <c r="A346" s="263"/>
      <c r="B346" s="381" t="s">
        <v>1443</v>
      </c>
      <c r="C346" s="382">
        <v>92986</v>
      </c>
      <c r="D346" s="383" t="str">
        <f>COMPOSIÇÕES!B97</f>
        <v>SINAPI SP - 08/2023</v>
      </c>
      <c r="E346" s="344" t="s">
        <v>857</v>
      </c>
      <c r="F346" s="382" t="s">
        <v>412</v>
      </c>
      <c r="G346" s="316">
        <v>20</v>
      </c>
      <c r="H346" s="530">
        <f>VLOOKUP(C346,COMPOSIÇÕES!A:J,6,FALSE)</f>
        <v>32.17</v>
      </c>
      <c r="I346" s="287">
        <f>COMPOSIÇÕES!$J$164</f>
        <v>38.443150000000003</v>
      </c>
      <c r="J346" s="384">
        <f t="shared" si="31"/>
        <v>768.86300000000006</v>
      </c>
    </row>
    <row r="347" spans="1:10" s="276" customFormat="1" ht="28.8">
      <c r="A347" s="263"/>
      <c r="B347" s="381" t="s">
        <v>1444</v>
      </c>
      <c r="C347" s="382">
        <v>92988</v>
      </c>
      <c r="D347" s="535" t="str">
        <f>VLOOKUP(C347,COMPOSIÇÕES!A:J,2,FALSE)</f>
        <v>SINAPI SP - 08/2023</v>
      </c>
      <c r="E347" s="344" t="s">
        <v>778</v>
      </c>
      <c r="F347" s="382" t="s">
        <v>412</v>
      </c>
      <c r="G347" s="316">
        <v>10</v>
      </c>
      <c r="H347" s="530">
        <f>VLOOKUP(C347,COMPOSIÇÕES!A:J,6,FALSE)</f>
        <v>46.05</v>
      </c>
      <c r="I347" s="287">
        <f>COMPOSIÇÕES!$J$99</f>
        <v>55.029749999999993</v>
      </c>
      <c r="J347" s="384">
        <f t="shared" ref="J347:J359" si="32">G347*I347</f>
        <v>550.2974999999999</v>
      </c>
    </row>
    <row r="348" spans="1:10" s="276" customFormat="1" ht="28.8">
      <c r="A348" s="263"/>
      <c r="B348" s="381" t="s">
        <v>1445</v>
      </c>
      <c r="C348" s="382">
        <v>92988</v>
      </c>
      <c r="D348" s="535" t="str">
        <f>VLOOKUP(C348,COMPOSIÇÕES!A:J,2,FALSE)</f>
        <v>SINAPI SP - 08/2023</v>
      </c>
      <c r="E348" s="344" t="s">
        <v>779</v>
      </c>
      <c r="F348" s="382" t="s">
        <v>412</v>
      </c>
      <c r="G348" s="316">
        <v>10</v>
      </c>
      <c r="H348" s="530">
        <f>VLOOKUP(C348,COMPOSIÇÕES!A:J,6,FALSE)</f>
        <v>46.05</v>
      </c>
      <c r="I348" s="287">
        <f>COMPOSIÇÕES!$J$99</f>
        <v>55.029749999999993</v>
      </c>
      <c r="J348" s="384">
        <f t="shared" si="32"/>
        <v>550.2974999999999</v>
      </c>
    </row>
    <row r="349" spans="1:10" s="276" customFormat="1" ht="28.8">
      <c r="A349" s="263"/>
      <c r="B349" s="381" t="s">
        <v>1446</v>
      </c>
      <c r="C349" s="382">
        <v>92988</v>
      </c>
      <c r="D349" s="535" t="str">
        <f>VLOOKUP(C349,COMPOSIÇÕES!A:J,2,FALSE)</f>
        <v>SINAPI SP - 08/2023</v>
      </c>
      <c r="E349" s="344" t="s">
        <v>780</v>
      </c>
      <c r="F349" s="382" t="s">
        <v>412</v>
      </c>
      <c r="G349" s="316">
        <v>10</v>
      </c>
      <c r="H349" s="530">
        <f>VLOOKUP(C349,COMPOSIÇÕES!A:J,6,FALSE)</f>
        <v>46.05</v>
      </c>
      <c r="I349" s="287">
        <f>COMPOSIÇÕES!$J$99</f>
        <v>55.029749999999993</v>
      </c>
      <c r="J349" s="384">
        <f t="shared" si="32"/>
        <v>550.2974999999999</v>
      </c>
    </row>
    <row r="350" spans="1:10" s="276" customFormat="1" ht="28.8">
      <c r="A350" s="263"/>
      <c r="B350" s="381" t="s">
        <v>1447</v>
      </c>
      <c r="C350" s="382">
        <v>92988</v>
      </c>
      <c r="D350" s="535" t="str">
        <f>VLOOKUP(C350,COMPOSIÇÕES!A:J,2,FALSE)</f>
        <v>SINAPI SP - 08/2023</v>
      </c>
      <c r="E350" s="344" t="s">
        <v>847</v>
      </c>
      <c r="F350" s="382" t="s">
        <v>412</v>
      </c>
      <c r="G350" s="316">
        <v>10</v>
      </c>
      <c r="H350" s="530">
        <f>VLOOKUP(C350,COMPOSIÇÕES!A:J,6,FALSE)</f>
        <v>46.05</v>
      </c>
      <c r="I350" s="287">
        <f>COMPOSIÇÕES!$J$99</f>
        <v>55.029749999999993</v>
      </c>
      <c r="J350" s="384">
        <f t="shared" si="32"/>
        <v>550.2974999999999</v>
      </c>
    </row>
    <row r="351" spans="1:10" s="276" customFormat="1" ht="28.8">
      <c r="A351" s="263"/>
      <c r="B351" s="381" t="s">
        <v>1448</v>
      </c>
      <c r="C351" s="382">
        <v>92990</v>
      </c>
      <c r="D351" s="383" t="str">
        <f>COMPOSIÇÕES!B98</f>
        <v>SINAPI SP - 08/2023</v>
      </c>
      <c r="E351" s="344" t="s">
        <v>853</v>
      </c>
      <c r="F351" s="382" t="s">
        <v>412</v>
      </c>
      <c r="G351" s="316">
        <v>20</v>
      </c>
      <c r="H351" s="530">
        <f>VLOOKUP(C351,COMPOSIÇÕES!A:J,6,FALSE)</f>
        <v>63.26</v>
      </c>
      <c r="I351" s="287">
        <f>COMPOSIÇÕES!$J$165</f>
        <v>75.595699999999994</v>
      </c>
      <c r="J351" s="384">
        <f t="shared" si="32"/>
        <v>1511.9139999999998</v>
      </c>
    </row>
    <row r="352" spans="1:10" s="276" customFormat="1" ht="28.8">
      <c r="A352" s="263"/>
      <c r="B352" s="381" t="s">
        <v>1449</v>
      </c>
      <c r="C352" s="382">
        <v>92990</v>
      </c>
      <c r="D352" s="535" t="str">
        <f>VLOOKUP(C352,COMPOSIÇÕES!A:J,2,FALSE)</f>
        <v>SINAPI SP - 08/2023</v>
      </c>
      <c r="E352" s="344" t="s">
        <v>854</v>
      </c>
      <c r="F352" s="382" t="s">
        <v>412</v>
      </c>
      <c r="G352" s="316">
        <v>20</v>
      </c>
      <c r="H352" s="530">
        <f>VLOOKUP(C352,COMPOSIÇÕES!A:J,6,FALSE)</f>
        <v>63.26</v>
      </c>
      <c r="I352" s="287">
        <f>COMPOSIÇÕES!$J$165</f>
        <v>75.595699999999994</v>
      </c>
      <c r="J352" s="384">
        <f t="shared" si="32"/>
        <v>1511.9139999999998</v>
      </c>
    </row>
    <row r="353" spans="1:10" s="276" customFormat="1" ht="28.8">
      <c r="A353" s="263"/>
      <c r="B353" s="381" t="s">
        <v>1450</v>
      </c>
      <c r="C353" s="382">
        <v>92990</v>
      </c>
      <c r="D353" s="535" t="str">
        <f>VLOOKUP(C353,COMPOSIÇÕES!A:J,2,FALSE)</f>
        <v>SINAPI SP - 08/2023</v>
      </c>
      <c r="E353" s="344" t="s">
        <v>855</v>
      </c>
      <c r="F353" s="382" t="s">
        <v>412</v>
      </c>
      <c r="G353" s="316">
        <v>20</v>
      </c>
      <c r="H353" s="530">
        <f>VLOOKUP(C353,COMPOSIÇÕES!A:J,6,FALSE)</f>
        <v>63.26</v>
      </c>
      <c r="I353" s="287">
        <f>COMPOSIÇÕES!$J$165</f>
        <v>75.595699999999994</v>
      </c>
      <c r="J353" s="384">
        <f t="shared" si="32"/>
        <v>1511.9139999999998</v>
      </c>
    </row>
    <row r="354" spans="1:10" s="276" customFormat="1" ht="28.8">
      <c r="A354" s="263"/>
      <c r="B354" s="381" t="s">
        <v>1451</v>
      </c>
      <c r="C354" s="382">
        <v>92990</v>
      </c>
      <c r="D354" s="535" t="str">
        <f>VLOOKUP(C354,COMPOSIÇÕES!A:J,2,FALSE)</f>
        <v>SINAPI SP - 08/2023</v>
      </c>
      <c r="E354" s="344" t="s">
        <v>856</v>
      </c>
      <c r="F354" s="382" t="s">
        <v>412</v>
      </c>
      <c r="G354" s="316">
        <v>20</v>
      </c>
      <c r="H354" s="530">
        <f>VLOOKUP(C354,COMPOSIÇÕES!A:J,6,FALSE)</f>
        <v>63.26</v>
      </c>
      <c r="I354" s="287">
        <f>COMPOSIÇÕES!$J$165</f>
        <v>75.595699999999994</v>
      </c>
      <c r="J354" s="384">
        <f t="shared" si="32"/>
        <v>1511.9139999999998</v>
      </c>
    </row>
    <row r="355" spans="1:10" s="276" customFormat="1">
      <c r="A355" s="263"/>
      <c r="B355" s="381" t="s">
        <v>1452</v>
      </c>
      <c r="C355" s="383" t="str">
        <f>COMPOSIÇÕES!A103</f>
        <v>09.82.027</v>
      </c>
      <c r="D355" s="383" t="str">
        <f>COMPOSIÇÕES!B103</f>
        <v>FDE - 07/2023</v>
      </c>
      <c r="E355" s="344" t="s">
        <v>732</v>
      </c>
      <c r="F355" s="382" t="s">
        <v>431</v>
      </c>
      <c r="G355" s="316">
        <v>4</v>
      </c>
      <c r="H355" s="530">
        <f>VLOOKUP(C355,COMPOSIÇÕES!A:J,6,FALSE)</f>
        <v>22.98</v>
      </c>
      <c r="I355" s="287">
        <f>COMPOSIÇÕES!$J$103</f>
        <v>27.461100000000002</v>
      </c>
      <c r="J355" s="384">
        <f t="shared" si="32"/>
        <v>109.84440000000001</v>
      </c>
    </row>
    <row r="356" spans="1:10" s="276" customFormat="1">
      <c r="A356" s="263"/>
      <c r="B356" s="381" t="s">
        <v>1453</v>
      </c>
      <c r="C356" s="383" t="str">
        <f>COMPOSIÇÕES!A144</f>
        <v>09.82.028</v>
      </c>
      <c r="D356" s="383" t="str">
        <f>COMPOSIÇÕES!B144</f>
        <v>FDE - 07/2023</v>
      </c>
      <c r="E356" s="344" t="s">
        <v>871</v>
      </c>
      <c r="F356" s="382" t="s">
        <v>431</v>
      </c>
      <c r="G356" s="316">
        <v>4</v>
      </c>
      <c r="H356" s="530">
        <f>VLOOKUP(C356,COMPOSIÇÕES!A:J,6,FALSE)</f>
        <v>28.62</v>
      </c>
      <c r="I356" s="287">
        <f>COMPOSIÇÕES!$J$144</f>
        <v>34.200900000000004</v>
      </c>
      <c r="J356" s="384">
        <f t="shared" si="32"/>
        <v>136.80360000000002</v>
      </c>
    </row>
    <row r="357" spans="1:10" s="276" customFormat="1">
      <c r="A357" s="263"/>
      <c r="B357" s="381" t="s">
        <v>1454</v>
      </c>
      <c r="C357" s="383" t="str">
        <f>COMPOSIÇÕES!A104</f>
        <v>09.82.029</v>
      </c>
      <c r="D357" s="383" t="str">
        <f>COMPOSIÇÕES!B104</f>
        <v>FDE - 07/2023</v>
      </c>
      <c r="E357" s="344" t="s">
        <v>731</v>
      </c>
      <c r="F357" s="382" t="s">
        <v>431</v>
      </c>
      <c r="G357" s="316">
        <v>12</v>
      </c>
      <c r="H357" s="530">
        <f>VLOOKUP(C357,COMPOSIÇÕES!A:J,6,FALSE)</f>
        <v>34.06</v>
      </c>
      <c r="I357" s="287">
        <f>COMPOSIÇÕES!$J$104</f>
        <v>40.701700000000002</v>
      </c>
      <c r="J357" s="384">
        <f t="shared" si="32"/>
        <v>488.42040000000003</v>
      </c>
    </row>
    <row r="358" spans="1:10" s="276" customFormat="1">
      <c r="A358" s="263"/>
      <c r="B358" s="381" t="s">
        <v>1455</v>
      </c>
      <c r="C358" s="383" t="str">
        <f>COMPOSIÇÕES!A166</f>
        <v>09.82.032</v>
      </c>
      <c r="D358" s="383" t="str">
        <f>COMPOSIÇÕES!B166</f>
        <v>FDE - 07/2023</v>
      </c>
      <c r="E358" s="344" t="s">
        <v>872</v>
      </c>
      <c r="F358" s="382" t="s">
        <v>431</v>
      </c>
      <c r="G358" s="316">
        <v>12</v>
      </c>
      <c r="H358" s="530">
        <f>VLOOKUP(C358,COMPOSIÇÕES!A:J,6,FALSE)</f>
        <v>56.55</v>
      </c>
      <c r="I358" s="287">
        <f>COMPOSIÇÕES!$J$166</f>
        <v>56.547400000000003</v>
      </c>
      <c r="J358" s="384">
        <f t="shared" si="32"/>
        <v>678.56880000000001</v>
      </c>
    </row>
    <row r="359" spans="1:10" s="263" customFormat="1" ht="72">
      <c r="B359" s="381" t="s">
        <v>1456</v>
      </c>
      <c r="C359" s="275" t="s">
        <v>711</v>
      </c>
      <c r="D359" s="277" t="str">
        <f>COMPOSIÇÕES!B175</f>
        <v>CDHU - BOLETIM 191 + FDE - 07/2023 + SINAPI SP - 08/2023</v>
      </c>
      <c r="E359" s="278" t="s">
        <v>1025</v>
      </c>
      <c r="F359" s="275" t="s">
        <v>431</v>
      </c>
      <c r="G359" s="313">
        <v>1</v>
      </c>
      <c r="H359" s="301">
        <f>SUM(COMPOSIÇÕES!G176:G182)</f>
        <v>9845.7293422594157</v>
      </c>
      <c r="I359" s="286">
        <f>COMPOSIÇÕES!$J$175</f>
        <v>11765.646564000002</v>
      </c>
      <c r="J359" s="295">
        <f t="shared" si="32"/>
        <v>11765.646564000002</v>
      </c>
    </row>
    <row r="360" spans="1:10" s="263" customFormat="1">
      <c r="B360" s="577" t="s">
        <v>586</v>
      </c>
      <c r="C360" s="578"/>
      <c r="D360" s="578"/>
      <c r="E360" s="578"/>
      <c r="F360" s="578"/>
      <c r="G360" s="578"/>
      <c r="H360" s="578"/>
      <c r="I360" s="578"/>
      <c r="J360" s="296">
        <f>SUM(J324:J359)</f>
        <v>66865.710363674792</v>
      </c>
    </row>
    <row r="361" spans="1:10" s="263" customFormat="1">
      <c r="B361" s="237" t="s">
        <v>582</v>
      </c>
      <c r="C361" s="238"/>
      <c r="D361" s="533"/>
      <c r="E361" s="239" t="s">
        <v>650</v>
      </c>
      <c r="F361" s="238"/>
      <c r="G361" s="312"/>
      <c r="H361" s="300"/>
      <c r="I361" s="285"/>
      <c r="J361" s="294"/>
    </row>
    <row r="362" spans="1:10" s="276" customFormat="1">
      <c r="A362" s="263"/>
      <c r="B362" s="381" t="s">
        <v>583</v>
      </c>
      <c r="C362" s="382" t="s">
        <v>708</v>
      </c>
      <c r="D362" s="383" t="str">
        <f>COMPOSIÇÕES!B115</f>
        <v>FDE - 07/2023</v>
      </c>
      <c r="E362" s="344" t="s">
        <v>651</v>
      </c>
      <c r="F362" s="382" t="s">
        <v>541</v>
      </c>
      <c r="G362" s="316">
        <v>100</v>
      </c>
      <c r="H362" s="290">
        <f>COMPOSIÇÕES!$G$116</f>
        <v>5.116260162601626</v>
      </c>
      <c r="I362" s="287">
        <f>COMPOSIÇÕES!$J$115</f>
        <v>6.1139308943089432</v>
      </c>
      <c r="J362" s="384">
        <f>G362*I362</f>
        <v>611.39308943089429</v>
      </c>
    </row>
    <row r="363" spans="1:10" s="263" customFormat="1">
      <c r="B363" s="577" t="s">
        <v>584</v>
      </c>
      <c r="C363" s="578"/>
      <c r="D363" s="578"/>
      <c r="E363" s="578"/>
      <c r="F363" s="578"/>
      <c r="G363" s="578"/>
      <c r="H363" s="578"/>
      <c r="I363" s="578"/>
      <c r="J363" s="296">
        <f>J362</f>
        <v>611.39308943089429</v>
      </c>
    </row>
    <row r="364" spans="1:10" s="261" customFormat="1" ht="25.5" customHeight="1" thickBot="1">
      <c r="B364" s="564" t="s">
        <v>573</v>
      </c>
      <c r="C364" s="565"/>
      <c r="D364" s="565"/>
      <c r="E364" s="565"/>
      <c r="F364" s="565"/>
      <c r="G364" s="565"/>
      <c r="H364" s="565"/>
      <c r="I364" s="566"/>
      <c r="J364" s="297">
        <f>J300+J322+J360+J363</f>
        <v>178056.92271059318</v>
      </c>
    </row>
    <row r="365" spans="1:10" s="147" customFormat="1">
      <c r="B365" s="264" t="s">
        <v>469</v>
      </c>
      <c r="C365" s="265"/>
      <c r="D365" s="534"/>
      <c r="E365" s="266" t="s">
        <v>535</v>
      </c>
      <c r="F365" s="265"/>
      <c r="G365" s="310"/>
      <c r="H365" s="298"/>
      <c r="I365" s="283"/>
      <c r="J365" s="292"/>
    </row>
    <row r="366" spans="1:10" s="147" customFormat="1" ht="6" customHeight="1">
      <c r="B366" s="234"/>
      <c r="C366" s="235"/>
      <c r="D366" s="532"/>
      <c r="E366" s="236"/>
      <c r="F366" s="235"/>
      <c r="G366" s="311"/>
      <c r="H366" s="299"/>
      <c r="I366" s="284"/>
      <c r="J366" s="293"/>
    </row>
    <row r="367" spans="1:10" s="261" customFormat="1">
      <c r="B367" s="237" t="s">
        <v>470</v>
      </c>
      <c r="C367" s="238"/>
      <c r="D367" s="533"/>
      <c r="E367" s="239" t="s">
        <v>483</v>
      </c>
      <c r="F367" s="238"/>
      <c r="G367" s="312"/>
      <c r="H367" s="300"/>
      <c r="I367" s="285"/>
      <c r="J367" s="294"/>
    </row>
    <row r="368" spans="1:10" s="150" customFormat="1" ht="28.8">
      <c r="B368" s="381" t="s">
        <v>433</v>
      </c>
      <c r="C368" s="382" t="s">
        <v>1130</v>
      </c>
      <c r="D368" s="317" t="str">
        <f>COMPOSIÇÕES!B81</f>
        <v>FDE - 07/2023</v>
      </c>
      <c r="E368" s="477" t="s">
        <v>1131</v>
      </c>
      <c r="F368" s="382" t="s">
        <v>541</v>
      </c>
      <c r="G368" s="316">
        <v>5</v>
      </c>
      <c r="H368" s="287">
        <f>COMPOSIÇÕES!$J$6</f>
        <v>407.8057</v>
      </c>
      <c r="I368" s="287">
        <f>H368+(H368*$J$4)</f>
        <v>487.3278115</v>
      </c>
      <c r="J368" s="384">
        <f>G368*I368</f>
        <v>2436.6390575</v>
      </c>
    </row>
    <row r="369" spans="1:10" s="150" customFormat="1" ht="33.75" customHeight="1">
      <c r="B369" s="381" t="s">
        <v>795</v>
      </c>
      <c r="C369" s="382">
        <v>37524</v>
      </c>
      <c r="D369" s="383" t="s">
        <v>2471</v>
      </c>
      <c r="E369" s="388" t="s">
        <v>543</v>
      </c>
      <c r="F369" s="382" t="s">
        <v>541</v>
      </c>
      <c r="G369" s="316">
        <v>40</v>
      </c>
      <c r="H369" s="287">
        <v>2</v>
      </c>
      <c r="I369" s="287">
        <v>2.46</v>
      </c>
      <c r="J369" s="384">
        <v>98.4</v>
      </c>
    </row>
    <row r="370" spans="1:10" s="261" customFormat="1">
      <c r="B370" s="577" t="s">
        <v>589</v>
      </c>
      <c r="C370" s="578"/>
      <c r="D370" s="578"/>
      <c r="E370" s="578"/>
      <c r="F370" s="578"/>
      <c r="G370" s="578"/>
      <c r="H370" s="578"/>
      <c r="I370" s="578"/>
      <c r="J370" s="296">
        <f>J368+J369</f>
        <v>2535.0390575000001</v>
      </c>
    </row>
    <row r="371" spans="1:10" s="147" customFormat="1">
      <c r="B371" s="237" t="s">
        <v>1457</v>
      </c>
      <c r="C371" s="238"/>
      <c r="D371" s="533"/>
      <c r="E371" s="239" t="s">
        <v>525</v>
      </c>
      <c r="F371" s="238"/>
      <c r="G371" s="312"/>
      <c r="H371" s="300"/>
      <c r="I371" s="285"/>
      <c r="J371" s="294"/>
    </row>
    <row r="372" spans="1:10" s="276" customFormat="1" ht="28.8">
      <c r="B372" s="381" t="s">
        <v>1458</v>
      </c>
      <c r="C372" s="382" t="s">
        <v>711</v>
      </c>
      <c r="D372" s="383" t="str">
        <f>COMPOSIÇÕES!B10</f>
        <v>SINAPI SP - 08/2023</v>
      </c>
      <c r="E372" s="487" t="s">
        <v>2404</v>
      </c>
      <c r="F372" s="382" t="s">
        <v>431</v>
      </c>
      <c r="G372" s="315">
        <v>20</v>
      </c>
      <c r="H372" s="290">
        <f>SUM(COMPOSIÇÕES!G11:G13)</f>
        <v>328.17395199999999</v>
      </c>
      <c r="I372" s="287">
        <f>COMPOSIÇÕES!J10</f>
        <v>392.16787263999993</v>
      </c>
      <c r="J372" s="384">
        <f t="shared" ref="J372" si="33">G372*I372</f>
        <v>7843.357452799999</v>
      </c>
    </row>
    <row r="373" spans="1:10" s="150" customFormat="1" ht="86.4">
      <c r="B373" s="381" t="s">
        <v>1459</v>
      </c>
      <c r="C373" s="382" t="s">
        <v>711</v>
      </c>
      <c r="D373" s="383" t="str">
        <f>COMPOSIÇÕES!B14</f>
        <v>SINAPI SP - 08/2023</v>
      </c>
      <c r="E373" s="344" t="s">
        <v>754</v>
      </c>
      <c r="F373" s="382" t="s">
        <v>412</v>
      </c>
      <c r="G373" s="315">
        <v>52</v>
      </c>
      <c r="H373" s="290">
        <f>COMPOSIÇÕES!G15+COMPOSIÇÕES!G16+COMPOSIÇÕES!G17+COMPOSIÇÕES!G18</f>
        <v>37.264400000000002</v>
      </c>
      <c r="I373" s="287">
        <f>COMPOSIÇÕES!$J$14</f>
        <v>44.530958000000005</v>
      </c>
      <c r="J373" s="384">
        <f t="shared" ref="J373:J386" si="34">G373*I373</f>
        <v>2315.6098160000001</v>
      </c>
    </row>
    <row r="374" spans="1:10" s="150" customFormat="1" ht="86.4">
      <c r="B374" s="381" t="s">
        <v>1460</v>
      </c>
      <c r="C374" s="382" t="s">
        <v>711</v>
      </c>
      <c r="D374" s="383" t="str">
        <f>COMPOSIÇÕES!B19</f>
        <v>SINAPI SP - 08/2023</v>
      </c>
      <c r="E374" s="344" t="s">
        <v>755</v>
      </c>
      <c r="F374" s="382" t="s">
        <v>412</v>
      </c>
      <c r="G374" s="315">
        <v>41</v>
      </c>
      <c r="H374" s="290">
        <f>COMPOSIÇÕES!G20+COMPOSIÇÕES!G21+COMPOSIÇÕES!G22+COMPOSIÇÕES!G23</f>
        <v>69.234999999999985</v>
      </c>
      <c r="I374" s="287">
        <f>COMPOSIÇÕES!$J$19</f>
        <v>82.735824999999991</v>
      </c>
      <c r="J374" s="384">
        <f t="shared" si="34"/>
        <v>3392.1688249999997</v>
      </c>
    </row>
    <row r="375" spans="1:10" s="150" customFormat="1" ht="86.4">
      <c r="B375" s="381" t="s">
        <v>1461</v>
      </c>
      <c r="C375" s="382" t="s">
        <v>711</v>
      </c>
      <c r="D375" s="383" t="str">
        <f>COMPOSIÇÕES!B117</f>
        <v>SINAPI SP - 08/2023</v>
      </c>
      <c r="E375" s="344" t="s">
        <v>804</v>
      </c>
      <c r="F375" s="382" t="s">
        <v>412</v>
      </c>
      <c r="G375" s="315">
        <v>11</v>
      </c>
      <c r="H375" s="290">
        <f>COMPOSIÇÕES!G118+COMPOSIÇÕES!G119+COMPOSIÇÕES!G120+COMPOSIÇÕES!G121</f>
        <v>94.308000000000007</v>
      </c>
      <c r="I375" s="287">
        <f>COMPOSIÇÕES!$J$117</f>
        <v>112.69806</v>
      </c>
      <c r="J375" s="384">
        <f t="shared" si="34"/>
        <v>1239.67866</v>
      </c>
    </row>
    <row r="376" spans="1:10" s="150" customFormat="1" ht="86.4">
      <c r="B376" s="381" t="s">
        <v>1462</v>
      </c>
      <c r="C376" s="382" t="s">
        <v>711</v>
      </c>
      <c r="D376" s="383" t="str">
        <f>COMPOSIÇÕES!B24</f>
        <v>SINAPI SP - 08/2023</v>
      </c>
      <c r="E376" s="344" t="s">
        <v>747</v>
      </c>
      <c r="F376" s="382" t="s">
        <v>412</v>
      </c>
      <c r="G376" s="315">
        <v>120</v>
      </c>
      <c r="H376" s="290">
        <f>COMPOSIÇÕES!G25+COMPOSIÇÕES!G26+COMPOSIÇÕES!G27+COMPOSIÇÕES!G28</f>
        <v>53.322000000000003</v>
      </c>
      <c r="I376" s="287">
        <f>COMPOSIÇÕES!$J$24</f>
        <v>63.719789999999996</v>
      </c>
      <c r="J376" s="384">
        <f t="shared" si="34"/>
        <v>7646.3747999999996</v>
      </c>
    </row>
    <row r="377" spans="1:10" s="393" customFormat="1" ht="86.4">
      <c r="A377" s="150"/>
      <c r="B377" s="381" t="s">
        <v>1463</v>
      </c>
      <c r="C377" s="394" t="s">
        <v>711</v>
      </c>
      <c r="D377" s="389" t="str">
        <f>COMPOSIÇÕES!B29</f>
        <v xml:space="preserve">SINAPI SP - 08/2023 </v>
      </c>
      <c r="E377" s="395" t="s">
        <v>748</v>
      </c>
      <c r="F377" s="394" t="s">
        <v>412</v>
      </c>
      <c r="G377" s="315">
        <v>120</v>
      </c>
      <c r="H377" s="392">
        <f>COMPOSIÇÕES!G30+COMPOSIÇÕES!G31+COMPOSIÇÕES!G32+COMPOSIÇÕES!G33</f>
        <v>85.438000000000002</v>
      </c>
      <c r="I377" s="396">
        <f>COMPOSIÇÕES!$J$29</f>
        <v>102.09840999999999</v>
      </c>
      <c r="J377" s="397">
        <f t="shared" si="34"/>
        <v>12251.809199999998</v>
      </c>
    </row>
    <row r="378" spans="1:10" s="393" customFormat="1" ht="28.8">
      <c r="A378" s="150"/>
      <c r="B378" s="381" t="s">
        <v>1464</v>
      </c>
      <c r="C378" s="394" t="str">
        <f t="shared" ref="C378:I378" si="35">C308</f>
        <v>22.02.030</v>
      </c>
      <c r="D378" s="389" t="str">
        <f t="shared" si="35"/>
        <v>CDHU - BOLETIM 191</v>
      </c>
      <c r="E378" s="395" t="str">
        <f t="shared" si="35"/>
        <v>Forro em painéis de gesso acartonado, espessura de 12,5mm, fixo</v>
      </c>
      <c r="F378" s="394" t="str">
        <f t="shared" si="35"/>
        <v>M²</v>
      </c>
      <c r="G378" s="315">
        <f>4.8*0.55*2*11</f>
        <v>58.080000000000005</v>
      </c>
      <c r="H378" s="392">
        <f t="shared" si="35"/>
        <v>99.47</v>
      </c>
      <c r="I378" s="396">
        <f t="shared" si="35"/>
        <v>118.86664999999999</v>
      </c>
      <c r="J378" s="397">
        <f t="shared" si="34"/>
        <v>6903.7750320000005</v>
      </c>
    </row>
    <row r="379" spans="1:10" s="150" customFormat="1" ht="57.6">
      <c r="B379" s="381" t="s">
        <v>1465</v>
      </c>
      <c r="C379" s="382" t="s">
        <v>711</v>
      </c>
      <c r="D379" s="383" t="str">
        <f>COMPOSIÇÕES!B29</f>
        <v xml:space="preserve">SINAPI SP - 08/2023 </v>
      </c>
      <c r="E379" s="398" t="s">
        <v>756</v>
      </c>
      <c r="F379" s="382" t="s">
        <v>413</v>
      </c>
      <c r="G379" s="315">
        <v>450</v>
      </c>
      <c r="H379" s="287">
        <f>COMPOSIÇÕES!G37+COMPOSIÇÕES!G38+COMPOSIÇÕES!G39</f>
        <v>84.94</v>
      </c>
      <c r="I379" s="287">
        <f>COMPOSIÇÕES!$J$36</f>
        <v>101.5033</v>
      </c>
      <c r="J379" s="384">
        <f t="shared" si="34"/>
        <v>45676.485000000001</v>
      </c>
    </row>
    <row r="380" spans="1:10" s="335" customFormat="1" ht="28.8">
      <c r="A380" s="150"/>
      <c r="B380" s="381" t="s">
        <v>1466</v>
      </c>
      <c r="C380" s="382" t="str">
        <f>COMPOSIÇÕES!A44</f>
        <v>61.10.565</v>
      </c>
      <c r="D380" s="383" t="str">
        <f>COMPOSIÇÕES!B44</f>
        <v>CDHU - BOLETIM 191</v>
      </c>
      <c r="E380" s="388" t="s">
        <v>1042</v>
      </c>
      <c r="F380" s="382" t="s">
        <v>431</v>
      </c>
      <c r="G380" s="315">
        <v>8</v>
      </c>
      <c r="H380" s="287">
        <f>COMPOSIÇÕES!G45</f>
        <v>248.91654375000002</v>
      </c>
      <c r="I380" s="287">
        <f>COMPOSIÇÕES!$J$44</f>
        <v>297.45526978125002</v>
      </c>
      <c r="J380" s="384">
        <f t="shared" si="34"/>
        <v>2379.6421582500002</v>
      </c>
    </row>
    <row r="381" spans="1:10" s="335" customFormat="1" ht="28.8">
      <c r="A381" s="150"/>
      <c r="B381" s="381" t="s">
        <v>1467</v>
      </c>
      <c r="C381" s="382" t="str">
        <f>COMPOSIÇÕES!A46</f>
        <v>61.10.564</v>
      </c>
      <c r="D381" s="383" t="str">
        <f>COMPOSIÇÕES!B46</f>
        <v>CDHU - BOLETIM 191</v>
      </c>
      <c r="E381" s="388" t="s">
        <v>1043</v>
      </c>
      <c r="F381" s="382" t="s">
        <v>431</v>
      </c>
      <c r="G381" s="315">
        <v>1</v>
      </c>
      <c r="H381" s="287">
        <f>COMPOSIÇÕES!G47</f>
        <v>49.947131250000005</v>
      </c>
      <c r="I381" s="287">
        <f>COMPOSIÇÕES!$J$46</f>
        <v>59.68682184375001</v>
      </c>
      <c r="J381" s="384">
        <f t="shared" si="34"/>
        <v>59.68682184375001</v>
      </c>
    </row>
    <row r="382" spans="1:10" s="335" customFormat="1" ht="28.8">
      <c r="A382" s="150"/>
      <c r="B382" s="381" t="s">
        <v>1468</v>
      </c>
      <c r="C382" s="382" t="str">
        <f>COMPOSIÇÕES!A48</f>
        <v>61.10.564</v>
      </c>
      <c r="D382" s="383" t="str">
        <f>COMPOSIÇÕES!B48</f>
        <v>CDHU - BOLETIM 191</v>
      </c>
      <c r="E382" s="388" t="s">
        <v>1044</v>
      </c>
      <c r="F382" s="382" t="s">
        <v>431</v>
      </c>
      <c r="G382" s="315">
        <v>2</v>
      </c>
      <c r="H382" s="287">
        <f>COMPOSIÇÕES!G49</f>
        <v>82.875240000000005</v>
      </c>
      <c r="I382" s="287">
        <f>COMPOSIÇÕES!$J$48</f>
        <v>99.035911800000008</v>
      </c>
      <c r="J382" s="384">
        <f t="shared" si="34"/>
        <v>198.07182360000002</v>
      </c>
    </row>
    <row r="383" spans="1:10" s="150" customFormat="1" ht="28.8">
      <c r="B383" s="381" t="s">
        <v>1469</v>
      </c>
      <c r="C383" s="382" t="str">
        <f>COMPOSIÇÕES!A122</f>
        <v>61.10.581</v>
      </c>
      <c r="D383" s="383" t="str">
        <f>COMPOSIÇÕES!B122</f>
        <v>CDHU - BOLETIM 191</v>
      </c>
      <c r="E383" s="388" t="s">
        <v>809</v>
      </c>
      <c r="F383" s="382" t="s">
        <v>431</v>
      </c>
      <c r="G383" s="317">
        <v>2</v>
      </c>
      <c r="H383" s="287">
        <f>SUM(COMPOSIÇÕES!$G$123:$G$123)</f>
        <v>33.890000000000008</v>
      </c>
      <c r="I383" s="287">
        <f>COMPOSIÇÕES!$J$122</f>
        <v>40.498550000000009</v>
      </c>
      <c r="J383" s="384">
        <f t="shared" si="34"/>
        <v>80.997100000000017</v>
      </c>
    </row>
    <row r="384" spans="1:10" s="150" customFormat="1" ht="28.8">
      <c r="B384" s="381" t="s">
        <v>1470</v>
      </c>
      <c r="C384" s="382" t="str">
        <f>COMPOSIÇÕES!A124</f>
        <v>61.10.581</v>
      </c>
      <c r="D384" s="383" t="str">
        <f>COMPOSIÇÕES!B124</f>
        <v>CDHU - BOLETIM 191</v>
      </c>
      <c r="E384" s="388" t="s">
        <v>1119</v>
      </c>
      <c r="F384" s="382" t="s">
        <v>431</v>
      </c>
      <c r="G384" s="317">
        <v>8</v>
      </c>
      <c r="H384" s="287">
        <f>SUM(COMPOSIÇÕES!$G$125:$G$125)</f>
        <v>203.34</v>
      </c>
      <c r="I384" s="287">
        <f>COMPOSIÇÕES!$J$124</f>
        <v>242.9913</v>
      </c>
      <c r="J384" s="384">
        <f t="shared" si="34"/>
        <v>1943.9304</v>
      </c>
    </row>
    <row r="385" spans="1:10" s="150" customFormat="1" ht="28.8">
      <c r="B385" s="381" t="s">
        <v>1471</v>
      </c>
      <c r="C385" s="382" t="str">
        <f>COMPOSIÇÕES!A56</f>
        <v>61.10.581</v>
      </c>
      <c r="D385" s="383" t="str">
        <f>COMPOSIÇÕES!B56</f>
        <v>CDHU - BOLETIM 191</v>
      </c>
      <c r="E385" s="388" t="s">
        <v>1117</v>
      </c>
      <c r="F385" s="382" t="s">
        <v>431</v>
      </c>
      <c r="G385" s="315">
        <v>1</v>
      </c>
      <c r="H385" s="287">
        <f>COMPOSIÇÕES!G57</f>
        <v>16.945000000000004</v>
      </c>
      <c r="I385" s="287">
        <f>COMPOSIÇÕES!$J$56</f>
        <v>20.249275000000004</v>
      </c>
      <c r="J385" s="384">
        <f t="shared" si="34"/>
        <v>20.249275000000004</v>
      </c>
    </row>
    <row r="386" spans="1:10" s="150" customFormat="1" ht="28.8">
      <c r="A386" s="271"/>
      <c r="B386" s="381" t="s">
        <v>1472</v>
      </c>
      <c r="C386" s="382" t="str">
        <f>COMPOSIÇÕES!A58</f>
        <v>COMPOSIÇÃO</v>
      </c>
      <c r="D386" s="383" t="str">
        <f>COMPOSIÇÕES!B58</f>
        <v xml:space="preserve">SINAPI SP - 08/2023 </v>
      </c>
      <c r="E386" s="388" t="s">
        <v>758</v>
      </c>
      <c r="F386" s="382" t="s">
        <v>412</v>
      </c>
      <c r="G386" s="315">
        <v>260</v>
      </c>
      <c r="H386" s="287">
        <f>COMPOSIÇÕES!G59+COMPOSIÇÕES!G60+COMPOSIÇÕES!G61</f>
        <v>31.499000000000002</v>
      </c>
      <c r="I386" s="287">
        <f>COMPOSIÇÕES!$J$58</f>
        <v>37.641304999999996</v>
      </c>
      <c r="J386" s="384">
        <f t="shared" si="34"/>
        <v>9786.7392999999993</v>
      </c>
    </row>
    <row r="387" spans="1:10" s="150" customFormat="1" ht="28.8">
      <c r="A387" s="271"/>
      <c r="B387" s="381" t="s">
        <v>1473</v>
      </c>
      <c r="C387" s="382" t="s">
        <v>711</v>
      </c>
      <c r="D387" s="383" t="str">
        <f>COMPOSIÇÕES!B64</f>
        <v>SINAPI SP - 08/2023</v>
      </c>
      <c r="E387" s="388" t="s">
        <v>697</v>
      </c>
      <c r="F387" s="382" t="s">
        <v>431</v>
      </c>
      <c r="G387" s="315">
        <v>20</v>
      </c>
      <c r="H387" s="287">
        <f>SUM(COMPOSIÇÕES!$G$65:$G$67)</f>
        <v>92.32</v>
      </c>
      <c r="I387" s="287">
        <f>COMPOSIÇÕES!$J$64</f>
        <v>110.32240000000002</v>
      </c>
      <c r="J387" s="384">
        <f t="shared" ref="J387:J391" si="36">I387*G387</f>
        <v>2206.4480000000003</v>
      </c>
    </row>
    <row r="388" spans="1:10" s="150" customFormat="1" ht="28.8">
      <c r="A388" s="271"/>
      <c r="B388" s="381" t="s">
        <v>1474</v>
      </c>
      <c r="C388" s="382" t="s">
        <v>711</v>
      </c>
      <c r="D388" s="383" t="str">
        <f>COMPOSIÇÕES!B68</f>
        <v xml:space="preserve">SINAPI SP - 08/2023 </v>
      </c>
      <c r="E388" s="388" t="s">
        <v>762</v>
      </c>
      <c r="F388" s="382" t="s">
        <v>415</v>
      </c>
      <c r="G388" s="315">
        <v>8</v>
      </c>
      <c r="H388" s="287">
        <f>SUM(COMPOSIÇÕES!$G$69:$G$70)</f>
        <v>58.91</v>
      </c>
      <c r="I388" s="287">
        <f>COMPOSIÇÕES!$J$68</f>
        <v>70.397449999999992</v>
      </c>
      <c r="J388" s="384">
        <f t="shared" si="36"/>
        <v>563.17959999999994</v>
      </c>
    </row>
    <row r="389" spans="1:10" s="150" customFormat="1" ht="28.8">
      <c r="A389" s="271"/>
      <c r="B389" s="381" t="s">
        <v>1475</v>
      </c>
      <c r="C389" s="273">
        <f>COMPOSIÇÕES!A71</f>
        <v>95241</v>
      </c>
      <c r="D389" s="273" t="str">
        <f>COMPOSIÇÕES!B71</f>
        <v xml:space="preserve">SINAPI SP - 08/2023 </v>
      </c>
      <c r="E389" s="400" t="s">
        <v>761</v>
      </c>
      <c r="F389" s="273" t="s">
        <v>541</v>
      </c>
      <c r="G389" s="316">
        <v>2</v>
      </c>
      <c r="H389" s="287">
        <f>SUM(COMPOSIÇÕES!$G$72:$G$72)</f>
        <v>28.8</v>
      </c>
      <c r="I389" s="287">
        <f>COMPOSIÇÕES!$J$71</f>
        <v>34.416000000000004</v>
      </c>
      <c r="J389" s="384">
        <f t="shared" si="36"/>
        <v>68.832000000000008</v>
      </c>
    </row>
    <row r="390" spans="1:10" s="150" customFormat="1">
      <c r="A390" s="271"/>
      <c r="B390" s="381" t="s">
        <v>2409</v>
      </c>
      <c r="C390" s="273" t="str">
        <f>COMPOSIÇÕES!A73</f>
        <v>01.02.001</v>
      </c>
      <c r="D390" s="273" t="str">
        <f>COMPOSIÇÕES!B74</f>
        <v>FDE - 07/2023</v>
      </c>
      <c r="E390" s="400" t="s">
        <v>760</v>
      </c>
      <c r="F390" s="273" t="s">
        <v>701</v>
      </c>
      <c r="G390" s="316">
        <v>1</v>
      </c>
      <c r="H390" s="530">
        <f>VLOOKUP(C390,COMPOSIÇÕES!A:J,6,FALSE)</f>
        <v>38.485355648535567</v>
      </c>
      <c r="I390" s="287">
        <f>COMPOSIÇÕES!$J$73</f>
        <v>45.99</v>
      </c>
      <c r="J390" s="384">
        <f t="shared" si="36"/>
        <v>45.99</v>
      </c>
    </row>
    <row r="391" spans="1:10" s="150" customFormat="1">
      <c r="A391" s="271"/>
      <c r="B391" s="381" t="s">
        <v>2439</v>
      </c>
      <c r="C391" s="399" t="s">
        <v>764</v>
      </c>
      <c r="D391" s="273" t="str">
        <f>COMPOSIÇÕES!B74</f>
        <v>FDE - 07/2023</v>
      </c>
      <c r="E391" s="400" t="s">
        <v>765</v>
      </c>
      <c r="F391" s="273" t="s">
        <v>541</v>
      </c>
      <c r="G391" s="316">
        <v>3</v>
      </c>
      <c r="H391" s="530">
        <f>VLOOKUP(C391,COMPOSIÇÕES!A:J,6,FALSE)</f>
        <v>210.81171548117152</v>
      </c>
      <c r="I391" s="287">
        <f>COMPOSIÇÕES!$J$74</f>
        <v>251.91999999999996</v>
      </c>
      <c r="J391" s="384">
        <f t="shared" si="36"/>
        <v>755.75999999999988</v>
      </c>
    </row>
    <row r="392" spans="1:10" s="261" customFormat="1">
      <c r="B392" s="577" t="s">
        <v>1476</v>
      </c>
      <c r="C392" s="578"/>
      <c r="D392" s="578"/>
      <c r="E392" s="578"/>
      <c r="F392" s="578"/>
      <c r="G392" s="578"/>
      <c r="H392" s="578"/>
      <c r="I392" s="578"/>
      <c r="J392" s="296">
        <f>SUM(J372:J391)</f>
        <v>105378.78526449372</v>
      </c>
    </row>
    <row r="393" spans="1:10" s="147" customFormat="1">
      <c r="B393" s="237" t="s">
        <v>1477</v>
      </c>
      <c r="C393" s="238"/>
      <c r="D393" s="533"/>
      <c r="E393" s="239" t="s">
        <v>526</v>
      </c>
      <c r="F393" s="238"/>
      <c r="G393" s="312"/>
      <c r="H393" s="300"/>
      <c r="I393" s="285"/>
      <c r="J393" s="294"/>
    </row>
    <row r="394" spans="1:10" s="276" customFormat="1">
      <c r="A394" s="263"/>
      <c r="B394" s="381" t="s">
        <v>1478</v>
      </c>
      <c r="C394" s="382" t="str">
        <f>COMPOSIÇÕES!A75</f>
        <v>COMPOSIÇÃO</v>
      </c>
      <c r="D394" s="383" t="str">
        <f>COMPOSIÇÕES!B75</f>
        <v>FDE - 07/2023</v>
      </c>
      <c r="E394" s="344" t="s">
        <v>745</v>
      </c>
      <c r="F394" s="382" t="s">
        <v>431</v>
      </c>
      <c r="G394" s="316">
        <v>90</v>
      </c>
      <c r="H394" s="290">
        <f>COMPOSIÇÕES!G76+COMPOSIÇÕES!G77+COMPOSIÇÕES!G78</f>
        <v>34.013252032520327</v>
      </c>
      <c r="I394" s="287">
        <f>COMPOSIÇÕES!$J$75</f>
        <v>40.645836178861792</v>
      </c>
      <c r="J394" s="384">
        <f t="shared" ref="J394:J407" si="37">G394*I394</f>
        <v>3658.1252560975613</v>
      </c>
    </row>
    <row r="395" spans="1:10" s="276" customFormat="1" ht="43.2">
      <c r="A395" s="263"/>
      <c r="B395" s="381" t="s">
        <v>1479</v>
      </c>
      <c r="C395" s="382" t="s">
        <v>711</v>
      </c>
      <c r="D395" s="383" t="str">
        <f>COMPOSIÇÕES!B128</f>
        <v>FDE - 07/2023 + SINAPI SP - 08/2023</v>
      </c>
      <c r="E395" s="344" t="s">
        <v>812</v>
      </c>
      <c r="F395" s="382" t="s">
        <v>431</v>
      </c>
      <c r="G395" s="316">
        <v>7</v>
      </c>
      <c r="H395" s="290">
        <f>COMPOSIÇÕES!G129+COMPOSIÇÕES!G130+COMPOSIÇÕES!G131</f>
        <v>23.056000000000001</v>
      </c>
      <c r="I395" s="287">
        <f>COMPOSIÇÕES!$J$128</f>
        <v>27.551920000000003</v>
      </c>
      <c r="J395" s="384">
        <f t="shared" si="37"/>
        <v>192.86344000000003</v>
      </c>
    </row>
    <row r="396" spans="1:10" s="276" customFormat="1" ht="28.8">
      <c r="A396" s="263"/>
      <c r="B396" s="381" t="s">
        <v>1480</v>
      </c>
      <c r="C396" s="382" t="s">
        <v>711</v>
      </c>
      <c r="D396" s="383" t="str">
        <f>COMPOSIÇÕES!B136</f>
        <v>FDE - 07/2023</v>
      </c>
      <c r="E396" s="344" t="s">
        <v>816</v>
      </c>
      <c r="F396" s="382" t="s">
        <v>431</v>
      </c>
      <c r="G396" s="316">
        <v>1</v>
      </c>
      <c r="H396" s="290">
        <f>COMPOSIÇÕES!G137+COMPOSIÇÕES!G138+COMPOSIÇÕES!G139</f>
        <v>28.625999999999998</v>
      </c>
      <c r="I396" s="287">
        <f>COMPOSIÇÕES!$J$136</f>
        <v>34.208069999999999</v>
      </c>
      <c r="J396" s="384">
        <f t="shared" si="37"/>
        <v>34.208069999999999</v>
      </c>
    </row>
    <row r="397" spans="1:10" s="276" customFormat="1">
      <c r="A397" s="263"/>
      <c r="B397" s="381" t="s">
        <v>1481</v>
      </c>
      <c r="C397" s="382" t="s">
        <v>739</v>
      </c>
      <c r="D397" s="383" t="str">
        <f>COMPOSIÇÕES!B83</f>
        <v>FDE - 07/2023</v>
      </c>
      <c r="E397" s="344" t="s">
        <v>766</v>
      </c>
      <c r="F397" s="382" t="s">
        <v>431</v>
      </c>
      <c r="G397" s="316">
        <v>7</v>
      </c>
      <c r="H397" s="530">
        <f>VLOOKUP(C397,COMPOSIÇÕES!A:J,6,FALSE)</f>
        <v>32.35146443514644</v>
      </c>
      <c r="I397" s="287">
        <f>COMPOSIÇÕES!$J$83</f>
        <v>38.659999999999997</v>
      </c>
      <c r="J397" s="384">
        <f t="shared" si="37"/>
        <v>270.62</v>
      </c>
    </row>
    <row r="398" spans="1:10" s="276" customFormat="1">
      <c r="A398" s="263"/>
      <c r="B398" s="381" t="s">
        <v>1482</v>
      </c>
      <c r="C398" s="382" t="s">
        <v>739</v>
      </c>
      <c r="D398" s="535" t="str">
        <f>VLOOKUP(C398,COMPOSIÇÕES!A:J,2,FALSE)</f>
        <v>FDE - 07/2023</v>
      </c>
      <c r="E398" s="344" t="s">
        <v>767</v>
      </c>
      <c r="F398" s="382" t="s">
        <v>431</v>
      </c>
      <c r="G398" s="316">
        <v>32</v>
      </c>
      <c r="H398" s="530">
        <f>VLOOKUP(C398,COMPOSIÇÕES!A:J,6,FALSE)</f>
        <v>32.35146443514644</v>
      </c>
      <c r="I398" s="287">
        <f>COMPOSIÇÕES!$J$83</f>
        <v>38.659999999999997</v>
      </c>
      <c r="J398" s="384">
        <f t="shared" si="37"/>
        <v>1237.1199999999999</v>
      </c>
    </row>
    <row r="399" spans="1:10" s="276" customFormat="1">
      <c r="A399" s="263"/>
      <c r="B399" s="381" t="s">
        <v>1483</v>
      </c>
      <c r="C399" s="382" t="s">
        <v>739</v>
      </c>
      <c r="D399" s="535" t="str">
        <f>VLOOKUP(C399,COMPOSIÇÕES!A:J,2,FALSE)</f>
        <v>FDE - 07/2023</v>
      </c>
      <c r="E399" s="344" t="s">
        <v>768</v>
      </c>
      <c r="F399" s="382" t="s">
        <v>431</v>
      </c>
      <c r="G399" s="316">
        <v>13</v>
      </c>
      <c r="H399" s="530">
        <f>VLOOKUP(C399,COMPOSIÇÕES!A:J,6,FALSE)</f>
        <v>32.35146443514644</v>
      </c>
      <c r="I399" s="287">
        <f>COMPOSIÇÕES!$J$83</f>
        <v>38.659999999999997</v>
      </c>
      <c r="J399" s="384">
        <f t="shared" si="37"/>
        <v>502.57999999999993</v>
      </c>
    </row>
    <row r="400" spans="1:10" s="276" customFormat="1">
      <c r="A400" s="263"/>
      <c r="B400" s="381" t="s">
        <v>1484</v>
      </c>
      <c r="C400" s="382" t="s">
        <v>819</v>
      </c>
      <c r="D400" s="383" t="str">
        <f>COMPOSIÇÕES!B140</f>
        <v>FDE - 07/2023</v>
      </c>
      <c r="E400" s="344" t="s">
        <v>823</v>
      </c>
      <c r="F400" s="382" t="s">
        <v>431</v>
      </c>
      <c r="G400" s="316">
        <v>2</v>
      </c>
      <c r="H400" s="530">
        <f>COMPOSIÇÕES!F140</f>
        <v>68.63</v>
      </c>
      <c r="I400" s="287">
        <f>COMPOSIÇÕES!$J$140</f>
        <v>82.01285</v>
      </c>
      <c r="J400" s="384">
        <f t="shared" si="37"/>
        <v>164.0257</v>
      </c>
    </row>
    <row r="401" spans="1:10" s="276" customFormat="1">
      <c r="A401" s="263"/>
      <c r="B401" s="381" t="s">
        <v>1485</v>
      </c>
      <c r="C401" s="382" t="s">
        <v>819</v>
      </c>
      <c r="D401" s="535" t="str">
        <f>VLOOKUP(C401,COMPOSIÇÕES!A:J,2,FALSE)</f>
        <v>FDE - 07/2023</v>
      </c>
      <c r="E401" s="344" t="s">
        <v>820</v>
      </c>
      <c r="F401" s="382" t="s">
        <v>431</v>
      </c>
      <c r="G401" s="316">
        <v>5</v>
      </c>
      <c r="H401" s="530">
        <f>COMPOSIÇÕES!F140</f>
        <v>68.63</v>
      </c>
      <c r="I401" s="287">
        <f>COMPOSIÇÕES!$J$140</f>
        <v>82.01285</v>
      </c>
      <c r="J401" s="384">
        <f t="shared" si="37"/>
        <v>410.06425000000002</v>
      </c>
    </row>
    <row r="402" spans="1:10" s="276" customFormat="1" ht="43.2">
      <c r="A402" s="263"/>
      <c r="B402" s="381" t="s">
        <v>1486</v>
      </c>
      <c r="C402" s="382" t="s">
        <v>711</v>
      </c>
      <c r="D402" s="383" t="str">
        <f>COMPOSIÇÕES!B85</f>
        <v>FDE - 07/2023 + SINAPI SP - 08/2023</v>
      </c>
      <c r="E402" s="344" t="s">
        <v>737</v>
      </c>
      <c r="F402" s="382" t="s">
        <v>431</v>
      </c>
      <c r="G402" s="316">
        <v>3</v>
      </c>
      <c r="H402" s="290">
        <f>COMPOSIÇÕES!G86+COMPOSIÇÕES!G87+COMPOSIÇÕES!G88</f>
        <v>187.64000000000001</v>
      </c>
      <c r="I402" s="287">
        <f>COMPOSIÇÕES!$J$85</f>
        <v>224.22980000000001</v>
      </c>
      <c r="J402" s="384">
        <f t="shared" si="37"/>
        <v>672.68939999999998</v>
      </c>
    </row>
    <row r="403" spans="1:10" s="276" customFormat="1">
      <c r="A403" s="263"/>
      <c r="B403" s="381" t="s">
        <v>1487</v>
      </c>
      <c r="C403" s="382" t="s">
        <v>735</v>
      </c>
      <c r="D403" s="383" t="str">
        <f>COMPOSIÇÕES!B89</f>
        <v>FDE - 07/2023</v>
      </c>
      <c r="E403" s="344" t="s">
        <v>736</v>
      </c>
      <c r="F403" s="382" t="s">
        <v>431</v>
      </c>
      <c r="G403" s="316">
        <v>109</v>
      </c>
      <c r="H403" s="530">
        <f>VLOOKUP(C403,COMPOSIÇÕES!A:J,6,FALSE)</f>
        <v>7.8158995815899575</v>
      </c>
      <c r="I403" s="287">
        <f>COMPOSIÇÕES!$J$89</f>
        <v>9.34</v>
      </c>
      <c r="J403" s="384">
        <f t="shared" si="37"/>
        <v>1018.06</v>
      </c>
    </row>
    <row r="404" spans="1:10" s="276" customFormat="1" ht="28.8">
      <c r="A404" s="263"/>
      <c r="B404" s="381" t="s">
        <v>1488</v>
      </c>
      <c r="C404" s="382" t="str">
        <f>COMPOSIÇÕES!A91</f>
        <v>38.21.920</v>
      </c>
      <c r="D404" s="383" t="str">
        <f>COMPOSIÇÕES!B91</f>
        <v>CDHU - BOLETIM 191</v>
      </c>
      <c r="E404" s="479" t="str">
        <f>COMPOSIÇÕES!C91</f>
        <v>Eletrocalha perfurada galvanizada a fogo, 100 x 50 mm, com acessórios</v>
      </c>
      <c r="F404" s="382" t="s">
        <v>412</v>
      </c>
      <c r="G404" s="316">
        <f>23*3</f>
        <v>69</v>
      </c>
      <c r="H404" s="530">
        <f>VLOOKUP(C404,COMPOSIÇÕES!A:J,6,FALSE)</f>
        <v>98.38</v>
      </c>
      <c r="I404" s="287">
        <f>COMPOSIÇÕES!$J$91</f>
        <v>117.5641</v>
      </c>
      <c r="J404" s="384">
        <f t="shared" si="37"/>
        <v>8111.9228999999996</v>
      </c>
    </row>
    <row r="405" spans="1:10" s="276" customFormat="1" ht="28.8">
      <c r="A405" s="263"/>
      <c r="B405" s="381" t="s">
        <v>1489</v>
      </c>
      <c r="C405" s="382" t="str">
        <f>COMPOSIÇÕES!A92</f>
        <v>38.06.040</v>
      </c>
      <c r="D405" s="383" t="str">
        <f>COMPOSIÇÕES!B92</f>
        <v>CDHU - BOLETIM 191</v>
      </c>
      <c r="E405" s="479" t="str">
        <f>COMPOSIÇÕES!C92</f>
        <v>Eletroduto galvanizado a quente conforme NBR5598 ‐ 3/4´ com acessórios</v>
      </c>
      <c r="F405" s="382" t="s">
        <v>412</v>
      </c>
      <c r="G405" s="316">
        <f>42*3</f>
        <v>126</v>
      </c>
      <c r="H405" s="530">
        <f>VLOOKUP(C405,COMPOSIÇÕES!A:J,6,FALSE)</f>
        <v>60.65</v>
      </c>
      <c r="I405" s="287">
        <f>COMPOSIÇÕES!$J$92</f>
        <v>72.476749999999996</v>
      </c>
      <c r="J405" s="384">
        <f t="shared" si="37"/>
        <v>9132.0704999999998</v>
      </c>
    </row>
    <row r="406" spans="1:10" s="276" customFormat="1" ht="28.8">
      <c r="A406" s="263"/>
      <c r="B406" s="381" t="s">
        <v>1490</v>
      </c>
      <c r="C406" s="382" t="str">
        <f>COMPOSIÇÕES!A142</f>
        <v>38.06.100</v>
      </c>
      <c r="D406" s="383" t="str">
        <f>COMPOSIÇÕES!B142</f>
        <v>CDHU - BOLETIM 191</v>
      </c>
      <c r="E406" s="388" t="str">
        <f>COMPOSIÇÕES!C142</f>
        <v>Eletroduto galvanizado a quente conforme NBR5598 ‐ 1 1/2´ com
acessórios</v>
      </c>
      <c r="F406" s="382" t="s">
        <v>412</v>
      </c>
      <c r="G406" s="316">
        <f>9*3</f>
        <v>27</v>
      </c>
      <c r="H406" s="530">
        <f>VLOOKUP(C406,COMPOSIÇÕES!A:J,6,FALSE)</f>
        <v>111.35</v>
      </c>
      <c r="I406" s="287">
        <f>COMPOSIÇÕES!$J$142</f>
        <v>133.06324999999998</v>
      </c>
      <c r="J406" s="384">
        <f t="shared" si="37"/>
        <v>3592.7077499999996</v>
      </c>
    </row>
    <row r="407" spans="1:10" s="276" customFormat="1" ht="28.8">
      <c r="A407" s="263"/>
      <c r="B407" s="381" t="s">
        <v>1491</v>
      </c>
      <c r="C407" s="382" t="str">
        <f>COMPOSIÇÕES!A94</f>
        <v>38.06.180</v>
      </c>
      <c r="D407" s="383" t="str">
        <f>COMPOSIÇÕES!B94</f>
        <v>CDHU - BOLETIM 191</v>
      </c>
      <c r="E407" s="388" t="str">
        <f>COMPOSIÇÕES!C94</f>
        <v>Eletroduto galvanizado a quente conforme NBR5598 ‐ 4´ com acessórios</v>
      </c>
      <c r="F407" s="382" t="s">
        <v>412</v>
      </c>
      <c r="G407" s="316">
        <f>12*3</f>
        <v>36</v>
      </c>
      <c r="H407" s="530">
        <f>VLOOKUP(C407,COMPOSIÇÕES!A:J,6,FALSE)</f>
        <v>305.01</v>
      </c>
      <c r="I407" s="287">
        <f>COMPOSIÇÕES!$J$94</f>
        <v>364.48694999999998</v>
      </c>
      <c r="J407" s="384">
        <f t="shared" si="37"/>
        <v>13121.530199999999</v>
      </c>
    </row>
    <row r="408" spans="1:10" s="276" customFormat="1">
      <c r="A408" s="263"/>
      <c r="B408" s="381" t="s">
        <v>1492</v>
      </c>
      <c r="C408" s="382" t="s">
        <v>729</v>
      </c>
      <c r="D408" s="383" t="str">
        <f>COMPOSIÇÕES!B95</f>
        <v>FDE - 07/2023</v>
      </c>
      <c r="E408" s="344" t="s">
        <v>730</v>
      </c>
      <c r="F408" s="382" t="s">
        <v>412</v>
      </c>
      <c r="G408" s="316">
        <v>1</v>
      </c>
      <c r="H408" s="530">
        <f>VLOOKUP(C408,COMPOSIÇÕES!A:J,6,FALSE)</f>
        <v>50.77</v>
      </c>
      <c r="I408" s="287">
        <f>COMPOSIÇÕES!$J$95</f>
        <v>60.670150000000007</v>
      </c>
      <c r="J408" s="384">
        <f t="shared" ref="J408:J420" si="38">G408*I408</f>
        <v>60.670150000000007</v>
      </c>
    </row>
    <row r="409" spans="1:10" s="276" customFormat="1" ht="28.8">
      <c r="A409" s="263"/>
      <c r="B409" s="381" t="s">
        <v>1493</v>
      </c>
      <c r="C409" s="382">
        <v>91927</v>
      </c>
      <c r="D409" s="383" t="str">
        <f>COMPOSIÇÕES!B96</f>
        <v>SINAPI SP - 08/2023</v>
      </c>
      <c r="E409" s="344" t="s">
        <v>770</v>
      </c>
      <c r="F409" s="382" t="s">
        <v>412</v>
      </c>
      <c r="G409" s="316">
        <v>575</v>
      </c>
      <c r="H409" s="530">
        <f>VLOOKUP(C409,COMPOSIÇÕES!A:J,6,FALSE)</f>
        <v>4.8</v>
      </c>
      <c r="I409" s="287">
        <f>COMPOSIÇÕES!$J$96</f>
        <v>5.7359999999999998</v>
      </c>
      <c r="J409" s="384">
        <f t="shared" si="38"/>
        <v>3298.2</v>
      </c>
    </row>
    <row r="410" spans="1:10" s="276" customFormat="1" ht="28.8">
      <c r="A410" s="263"/>
      <c r="B410" s="381" t="s">
        <v>1494</v>
      </c>
      <c r="C410" s="382">
        <v>91927</v>
      </c>
      <c r="D410" s="535" t="str">
        <f>VLOOKUP(C410,COMPOSIÇÕES!A:J,2,FALSE)</f>
        <v>SINAPI SP - 08/2023</v>
      </c>
      <c r="E410" s="344" t="s">
        <v>771</v>
      </c>
      <c r="F410" s="382" t="s">
        <v>412</v>
      </c>
      <c r="G410" s="316">
        <v>525</v>
      </c>
      <c r="H410" s="530">
        <f>VLOOKUP(C410,COMPOSIÇÕES!A:J,6,FALSE)</f>
        <v>4.8</v>
      </c>
      <c r="I410" s="287">
        <f>COMPOSIÇÕES!$J$96</f>
        <v>5.7359999999999998</v>
      </c>
      <c r="J410" s="384">
        <f t="shared" si="38"/>
        <v>3011.4</v>
      </c>
    </row>
    <row r="411" spans="1:10" s="276" customFormat="1" ht="28.8">
      <c r="A411" s="263"/>
      <c r="B411" s="381" t="s">
        <v>1495</v>
      </c>
      <c r="C411" s="382">
        <v>91927</v>
      </c>
      <c r="D411" s="535" t="str">
        <f>VLOOKUP(C411,COMPOSIÇÕES!A:J,2,FALSE)</f>
        <v>SINAPI SP - 08/2023</v>
      </c>
      <c r="E411" s="344" t="s">
        <v>772</v>
      </c>
      <c r="F411" s="382" t="s">
        <v>412</v>
      </c>
      <c r="G411" s="316">
        <v>500</v>
      </c>
      <c r="H411" s="530">
        <f>VLOOKUP(C411,COMPOSIÇÕES!A:J,6,FALSE)</f>
        <v>4.8</v>
      </c>
      <c r="I411" s="287">
        <f>COMPOSIÇÕES!$J$96</f>
        <v>5.7359999999999998</v>
      </c>
      <c r="J411" s="384">
        <f t="shared" si="38"/>
        <v>2868</v>
      </c>
    </row>
    <row r="412" spans="1:10" s="276" customFormat="1" ht="28.8">
      <c r="A412" s="263"/>
      <c r="B412" s="381" t="s">
        <v>1496</v>
      </c>
      <c r="C412" s="382">
        <v>91927</v>
      </c>
      <c r="D412" s="535" t="str">
        <f>VLOOKUP(C412,COMPOSIÇÕES!A:J,2,FALSE)</f>
        <v>SINAPI SP - 08/2023</v>
      </c>
      <c r="E412" s="344" t="s">
        <v>773</v>
      </c>
      <c r="F412" s="382" t="s">
        <v>412</v>
      </c>
      <c r="G412" s="316">
        <v>300</v>
      </c>
      <c r="H412" s="530">
        <f>VLOOKUP(C412,COMPOSIÇÕES!A:J,6,FALSE)</f>
        <v>4.8</v>
      </c>
      <c r="I412" s="287">
        <f>COMPOSIÇÕES!$J$96</f>
        <v>5.7359999999999998</v>
      </c>
      <c r="J412" s="384">
        <f t="shared" si="38"/>
        <v>1720.8</v>
      </c>
    </row>
    <row r="413" spans="1:10" s="276" customFormat="1" ht="28.8">
      <c r="A413" s="263"/>
      <c r="B413" s="381" t="s">
        <v>1497</v>
      </c>
      <c r="C413" s="382">
        <v>92988</v>
      </c>
      <c r="D413" s="383" t="str">
        <f>COMPOSIÇÕES!B99</f>
        <v>SINAPI SP - 08/2023</v>
      </c>
      <c r="E413" s="344" t="s">
        <v>848</v>
      </c>
      <c r="F413" s="382" t="s">
        <v>412</v>
      </c>
      <c r="G413" s="316">
        <v>45</v>
      </c>
      <c r="H413" s="530">
        <f>VLOOKUP(C413,COMPOSIÇÕES!A:J,6,FALSE)</f>
        <v>46.05</v>
      </c>
      <c r="I413" s="287">
        <f>COMPOSIÇÕES!$J$99</f>
        <v>55.029749999999993</v>
      </c>
      <c r="J413" s="384">
        <f t="shared" si="38"/>
        <v>2476.3387499999999</v>
      </c>
    </row>
    <row r="414" spans="1:10" s="276" customFormat="1" ht="28.8">
      <c r="A414" s="263"/>
      <c r="B414" s="381" t="s">
        <v>1498</v>
      </c>
      <c r="C414" s="382">
        <v>92992</v>
      </c>
      <c r="D414" s="383" t="str">
        <f t="shared" ref="D414:D417" si="39">$D$413</f>
        <v>SINAPI SP - 08/2023</v>
      </c>
      <c r="E414" s="344" t="s">
        <v>849</v>
      </c>
      <c r="F414" s="382" t="s">
        <v>412</v>
      </c>
      <c r="G414" s="316">
        <v>80</v>
      </c>
      <c r="H414" s="530">
        <f>VLOOKUP(C414,COMPOSIÇÕES!A:J,6,FALSE)</f>
        <v>81.510000000000005</v>
      </c>
      <c r="I414" s="287">
        <f>COMPOSIÇÕES!$J$100</f>
        <v>97.404450000000011</v>
      </c>
      <c r="J414" s="384">
        <f t="shared" si="38"/>
        <v>7792.3560000000007</v>
      </c>
    </row>
    <row r="415" spans="1:10" s="276" customFormat="1" ht="28.8">
      <c r="A415" s="263"/>
      <c r="B415" s="381" t="s">
        <v>1499</v>
      </c>
      <c r="C415" s="382">
        <v>92992</v>
      </c>
      <c r="D415" s="383" t="str">
        <f t="shared" si="39"/>
        <v>SINAPI SP - 08/2023</v>
      </c>
      <c r="E415" s="344" t="s">
        <v>850</v>
      </c>
      <c r="F415" s="382" t="s">
        <v>412</v>
      </c>
      <c r="G415" s="316">
        <v>80</v>
      </c>
      <c r="H415" s="530">
        <f>VLOOKUP(C415,COMPOSIÇÕES!A:J,6,FALSE)</f>
        <v>81.510000000000005</v>
      </c>
      <c r="I415" s="287">
        <f>COMPOSIÇÕES!$J$100</f>
        <v>97.404450000000011</v>
      </c>
      <c r="J415" s="384">
        <f t="shared" si="38"/>
        <v>7792.3560000000007</v>
      </c>
    </row>
    <row r="416" spans="1:10" s="276" customFormat="1" ht="28.8">
      <c r="A416" s="263"/>
      <c r="B416" s="381" t="s">
        <v>1500</v>
      </c>
      <c r="C416" s="382">
        <v>92992</v>
      </c>
      <c r="D416" s="383" t="str">
        <f t="shared" si="39"/>
        <v>SINAPI SP - 08/2023</v>
      </c>
      <c r="E416" s="344" t="s">
        <v>851</v>
      </c>
      <c r="F416" s="382" t="s">
        <v>412</v>
      </c>
      <c r="G416" s="316">
        <v>80</v>
      </c>
      <c r="H416" s="530">
        <f>VLOOKUP(C416,COMPOSIÇÕES!A:J,6,FALSE)</f>
        <v>81.510000000000005</v>
      </c>
      <c r="I416" s="287">
        <f>COMPOSIÇÕES!$J$100</f>
        <v>97.404450000000011</v>
      </c>
      <c r="J416" s="384">
        <f t="shared" si="38"/>
        <v>7792.3560000000007</v>
      </c>
    </row>
    <row r="417" spans="1:16381" s="276" customFormat="1" ht="28.8">
      <c r="A417" s="263"/>
      <c r="B417" s="381" t="s">
        <v>1501</v>
      </c>
      <c r="C417" s="382">
        <v>92992</v>
      </c>
      <c r="D417" s="383" t="str">
        <f t="shared" si="39"/>
        <v>SINAPI SP - 08/2023</v>
      </c>
      <c r="E417" s="344" t="s">
        <v>781</v>
      </c>
      <c r="F417" s="382" t="s">
        <v>412</v>
      </c>
      <c r="G417" s="316">
        <v>80</v>
      </c>
      <c r="H417" s="530">
        <f>VLOOKUP(C417,COMPOSIÇÕES!A:J,6,FALSE)</f>
        <v>81.510000000000005</v>
      </c>
      <c r="I417" s="287">
        <f>COMPOSIÇÕES!$J$100</f>
        <v>97.404450000000011</v>
      </c>
      <c r="J417" s="384">
        <f t="shared" si="38"/>
        <v>7792.3560000000007</v>
      </c>
    </row>
    <row r="418" spans="1:16381" s="276" customFormat="1">
      <c r="A418" s="263"/>
      <c r="B418" s="381" t="s">
        <v>1502</v>
      </c>
      <c r="C418" s="382" t="str">
        <f>COMPOSIÇÕES!A104</f>
        <v>09.82.029</v>
      </c>
      <c r="D418" s="383" t="str">
        <f>COMPOSIÇÕES!B104</f>
        <v>FDE - 07/2023</v>
      </c>
      <c r="E418" s="344" t="s">
        <v>731</v>
      </c>
      <c r="F418" s="382" t="s">
        <v>431</v>
      </c>
      <c r="G418" s="316">
        <v>8</v>
      </c>
      <c r="H418" s="530">
        <f>VLOOKUP(C418,COMPOSIÇÕES!A:J,6,FALSE)</f>
        <v>34.06</v>
      </c>
      <c r="I418" s="287">
        <f>COMPOSIÇÕES!$J$104</f>
        <v>40.701700000000002</v>
      </c>
      <c r="J418" s="384">
        <f t="shared" si="38"/>
        <v>325.61360000000002</v>
      </c>
    </row>
    <row r="419" spans="1:16381" s="276" customFormat="1">
      <c r="A419" s="263"/>
      <c r="B419" s="381" t="s">
        <v>1503</v>
      </c>
      <c r="C419" s="382" t="str">
        <f>COMPOSIÇÕES!A105</f>
        <v>09.82.031</v>
      </c>
      <c r="D419" s="383" t="str">
        <f>COMPOSIÇÕES!B105</f>
        <v>FDE - 07/2023</v>
      </c>
      <c r="E419" s="344" t="s">
        <v>733</v>
      </c>
      <c r="F419" s="382" t="s">
        <v>431</v>
      </c>
      <c r="G419" s="316">
        <v>24</v>
      </c>
      <c r="H419" s="530">
        <f>VLOOKUP(C419,COMPOSIÇÕES!A:J,6,FALSE)</f>
        <v>43.51</v>
      </c>
      <c r="I419" s="287">
        <f>COMPOSIÇÕES!$J$105</f>
        <v>51.994450000000001</v>
      </c>
      <c r="J419" s="384">
        <f t="shared" si="38"/>
        <v>1247.8668</v>
      </c>
    </row>
    <row r="420" spans="1:16381" s="263" customFormat="1" ht="72">
      <c r="B420" s="381" t="s">
        <v>1504</v>
      </c>
      <c r="C420" s="275" t="s">
        <v>711</v>
      </c>
      <c r="D420" s="277" t="str">
        <f>COMPOSIÇÕES!B183</f>
        <v>CDHU - BOLETIM 191 + FDE - 07/2023 + SINAPI SP - 08/2023</v>
      </c>
      <c r="E420" s="278" t="s">
        <v>1021</v>
      </c>
      <c r="F420" s="275" t="s">
        <v>530</v>
      </c>
      <c r="G420" s="313">
        <v>1</v>
      </c>
      <c r="H420" s="301">
        <f>COMPOSIÇÕES!G184+COMPOSIÇÕES!G185+COMPOSIÇÕES!G186+COMPOSIÇÕES!G187+COMPOSIÇÕES!G188+COMPOSIÇÕES!G189+COMPOSIÇÕES!G190</f>
        <v>8514.0942661087847</v>
      </c>
      <c r="I420" s="286">
        <f>COMPOSIÇÕES!$J$183</f>
        <v>10174.342648</v>
      </c>
      <c r="J420" s="295">
        <f t="shared" si="38"/>
        <v>10174.342648</v>
      </c>
    </row>
    <row r="421" spans="1:16381" s="147" customFormat="1">
      <c r="B421" s="577" t="s">
        <v>1505</v>
      </c>
      <c r="C421" s="578"/>
      <c r="D421" s="578"/>
      <c r="E421" s="578"/>
      <c r="F421" s="578"/>
      <c r="G421" s="578"/>
      <c r="H421" s="578"/>
      <c r="I421" s="578"/>
      <c r="J421" s="296">
        <f>SUM(J394:J420)</f>
        <v>98471.243414097567</v>
      </c>
    </row>
    <row r="422" spans="1:16381" s="263" customFormat="1">
      <c r="A422" s="274"/>
      <c r="B422" s="237" t="s">
        <v>590</v>
      </c>
      <c r="C422" s="238"/>
      <c r="D422" s="239"/>
      <c r="E422" s="390" t="s">
        <v>650</v>
      </c>
      <c r="F422" s="312"/>
      <c r="G422" s="300"/>
      <c r="H422" s="285"/>
      <c r="I422" s="285"/>
      <c r="J422" s="294"/>
      <c r="K422" s="274"/>
      <c r="L422" s="274"/>
      <c r="M422" s="274"/>
      <c r="N422" s="274"/>
      <c r="O422" s="274"/>
      <c r="P422" s="274"/>
      <c r="Q422" s="274"/>
      <c r="R422" s="274"/>
      <c r="S422" s="274"/>
      <c r="T422" s="274"/>
      <c r="U422" s="274"/>
      <c r="V422" s="274"/>
      <c r="W422" s="274"/>
      <c r="X422" s="274"/>
      <c r="Y422" s="274"/>
      <c r="Z422" s="274"/>
      <c r="AA422" s="274"/>
      <c r="AB422" s="274"/>
      <c r="AC422" s="274"/>
      <c r="AD422" s="274"/>
      <c r="AE422" s="274"/>
      <c r="AF422" s="274"/>
      <c r="AG422" s="274"/>
      <c r="AH422" s="274"/>
      <c r="AI422" s="274"/>
      <c r="AJ422" s="274"/>
      <c r="AK422" s="274"/>
      <c r="AL422" s="274"/>
      <c r="AM422" s="274"/>
      <c r="AN422" s="274"/>
      <c r="AO422" s="274"/>
      <c r="AP422" s="274"/>
      <c r="AQ422" s="274"/>
      <c r="AR422" s="274"/>
      <c r="AS422" s="274"/>
      <c r="AT422" s="274"/>
      <c r="AU422" s="274"/>
      <c r="AV422" s="274"/>
      <c r="AW422" s="274"/>
      <c r="AX422" s="274"/>
      <c r="AY422" s="274"/>
      <c r="AZ422" s="274"/>
      <c r="BA422" s="274"/>
      <c r="BB422" s="274"/>
      <c r="BC422" s="274"/>
      <c r="BD422" s="274"/>
      <c r="BE422" s="274"/>
      <c r="BF422" s="274"/>
      <c r="BG422" s="274"/>
      <c r="BH422" s="274"/>
      <c r="BI422" s="274"/>
      <c r="BJ422" s="274"/>
      <c r="BK422" s="274"/>
      <c r="BL422" s="274"/>
      <c r="BM422" s="274"/>
      <c r="BN422" s="274"/>
      <c r="BO422" s="274"/>
      <c r="BP422" s="274"/>
      <c r="BQ422" s="274"/>
      <c r="BR422" s="274"/>
      <c r="BS422" s="274"/>
      <c r="BT422" s="274"/>
      <c r="BU422" s="274"/>
      <c r="BV422" s="274"/>
      <c r="BW422" s="274"/>
      <c r="BX422" s="274"/>
      <c r="BY422" s="274"/>
      <c r="BZ422" s="274"/>
      <c r="CA422" s="274"/>
      <c r="CB422" s="274"/>
      <c r="CC422" s="274"/>
      <c r="CD422" s="274"/>
      <c r="CE422" s="274"/>
      <c r="CF422" s="274"/>
      <c r="CG422" s="274"/>
      <c r="CH422" s="274"/>
      <c r="CI422" s="274"/>
      <c r="CJ422" s="274"/>
      <c r="CK422" s="274"/>
      <c r="CL422" s="274"/>
      <c r="CM422" s="274"/>
      <c r="CN422" s="274"/>
      <c r="CO422" s="274"/>
      <c r="CP422" s="274"/>
      <c r="CQ422" s="274"/>
      <c r="CR422" s="274"/>
      <c r="CS422" s="274"/>
      <c r="CT422" s="274"/>
      <c r="CU422" s="274"/>
      <c r="CV422" s="274"/>
      <c r="CW422" s="274"/>
      <c r="CX422" s="274"/>
      <c r="CY422" s="274"/>
      <c r="CZ422" s="274"/>
      <c r="DA422" s="274"/>
      <c r="DB422" s="274"/>
      <c r="DC422" s="274"/>
      <c r="DD422" s="274"/>
      <c r="DE422" s="274"/>
      <c r="DF422" s="274"/>
      <c r="DG422" s="274"/>
      <c r="DH422" s="274"/>
      <c r="DI422" s="274"/>
      <c r="DJ422" s="274"/>
      <c r="DK422" s="274"/>
      <c r="DL422" s="274"/>
      <c r="DM422" s="274"/>
      <c r="DN422" s="274"/>
      <c r="DO422" s="274"/>
      <c r="DP422" s="274"/>
      <c r="DQ422" s="274"/>
      <c r="DR422" s="274"/>
      <c r="DS422" s="274"/>
      <c r="DT422" s="274"/>
      <c r="DU422" s="274"/>
      <c r="DV422" s="274"/>
      <c r="DW422" s="274"/>
      <c r="DX422" s="274"/>
      <c r="DY422" s="274"/>
      <c r="DZ422" s="274"/>
      <c r="EA422" s="274"/>
      <c r="EB422" s="274"/>
      <c r="EC422" s="274"/>
      <c r="ED422" s="274"/>
      <c r="EE422" s="274"/>
      <c r="EF422" s="274"/>
      <c r="EG422" s="274"/>
      <c r="EH422" s="274"/>
      <c r="EI422" s="274"/>
      <c r="EJ422" s="274"/>
      <c r="EK422" s="274"/>
      <c r="EL422" s="274"/>
      <c r="EM422" s="274"/>
      <c r="EN422" s="274"/>
      <c r="EO422" s="274"/>
      <c r="EP422" s="274"/>
      <c r="EQ422" s="274"/>
      <c r="ER422" s="274"/>
      <c r="ES422" s="274"/>
      <c r="ET422" s="274"/>
      <c r="EU422" s="274"/>
      <c r="EV422" s="274"/>
      <c r="EW422" s="274"/>
      <c r="EX422" s="274"/>
      <c r="EY422" s="274"/>
      <c r="EZ422" s="274"/>
      <c r="FA422" s="274"/>
      <c r="FB422" s="274"/>
      <c r="FC422" s="274"/>
      <c r="FD422" s="274"/>
      <c r="FE422" s="274"/>
      <c r="FF422" s="274"/>
      <c r="FG422" s="274"/>
      <c r="FH422" s="274"/>
      <c r="FI422" s="274"/>
      <c r="FJ422" s="274"/>
      <c r="FK422" s="274"/>
      <c r="FL422" s="274"/>
      <c r="FM422" s="274"/>
      <c r="FN422" s="274"/>
      <c r="FO422" s="274"/>
      <c r="FP422" s="274"/>
      <c r="FQ422" s="274"/>
      <c r="FR422" s="274"/>
      <c r="FS422" s="274"/>
      <c r="FT422" s="274"/>
      <c r="FU422" s="274"/>
      <c r="FV422" s="274"/>
      <c r="FW422" s="274"/>
      <c r="FX422" s="274"/>
      <c r="FY422" s="274"/>
      <c r="FZ422" s="274"/>
      <c r="GA422" s="274"/>
      <c r="GB422" s="274"/>
      <c r="GC422" s="274"/>
      <c r="GD422" s="274"/>
      <c r="GE422" s="274"/>
      <c r="GF422" s="274"/>
      <c r="GG422" s="274"/>
      <c r="GH422" s="274"/>
      <c r="GI422" s="274"/>
      <c r="GJ422" s="274"/>
      <c r="GK422" s="274"/>
      <c r="GL422" s="274"/>
      <c r="GM422" s="274"/>
      <c r="GN422" s="274"/>
      <c r="GO422" s="274"/>
      <c r="GP422" s="274"/>
      <c r="GQ422" s="274"/>
      <c r="GR422" s="274"/>
      <c r="GS422" s="274"/>
      <c r="GT422" s="274"/>
      <c r="GU422" s="274"/>
      <c r="GV422" s="274"/>
      <c r="GW422" s="274"/>
      <c r="GX422" s="274"/>
      <c r="GY422" s="274"/>
      <c r="GZ422" s="274"/>
      <c r="HA422" s="274"/>
      <c r="HB422" s="274"/>
      <c r="HC422" s="274"/>
      <c r="HD422" s="274"/>
      <c r="HE422" s="274"/>
      <c r="HF422" s="274"/>
      <c r="HG422" s="274"/>
      <c r="HH422" s="274"/>
      <c r="HI422" s="274"/>
      <c r="HJ422" s="274"/>
      <c r="HK422" s="274"/>
      <c r="HL422" s="274"/>
      <c r="HM422" s="274"/>
      <c r="HN422" s="274"/>
      <c r="HO422" s="274"/>
      <c r="HP422" s="274"/>
      <c r="HQ422" s="274"/>
      <c r="HR422" s="274"/>
      <c r="HS422" s="274"/>
      <c r="HT422" s="274"/>
      <c r="HU422" s="274"/>
      <c r="HV422" s="274"/>
      <c r="HW422" s="274"/>
      <c r="HX422" s="274"/>
      <c r="HY422" s="274"/>
      <c r="HZ422" s="274"/>
      <c r="IA422" s="274"/>
      <c r="IB422" s="274"/>
      <c r="IC422" s="274"/>
      <c r="ID422" s="274"/>
      <c r="IE422" s="274"/>
      <c r="IF422" s="274"/>
      <c r="IG422" s="274"/>
      <c r="IH422" s="274"/>
      <c r="II422" s="274"/>
      <c r="IJ422" s="274"/>
      <c r="IK422" s="274"/>
      <c r="IL422" s="274"/>
      <c r="IM422" s="274"/>
      <c r="IN422" s="274"/>
      <c r="IO422" s="274"/>
      <c r="IP422" s="274"/>
      <c r="IQ422" s="274"/>
      <c r="IR422" s="274"/>
      <c r="IS422" s="274"/>
      <c r="IT422" s="274"/>
      <c r="IU422" s="274"/>
      <c r="IV422" s="274"/>
      <c r="IW422" s="274"/>
      <c r="IX422" s="274"/>
      <c r="IY422" s="274"/>
      <c r="IZ422" s="274"/>
      <c r="JA422" s="274"/>
      <c r="JB422" s="274"/>
      <c r="JC422" s="274"/>
      <c r="JD422" s="274"/>
      <c r="JE422" s="274"/>
      <c r="JF422" s="274"/>
      <c r="JG422" s="274"/>
      <c r="JH422" s="274"/>
      <c r="JI422" s="274"/>
      <c r="JJ422" s="274"/>
      <c r="JK422" s="274"/>
      <c r="JL422" s="274"/>
      <c r="JM422" s="274"/>
      <c r="JN422" s="274"/>
      <c r="JO422" s="274"/>
      <c r="JP422" s="274"/>
      <c r="JQ422" s="274"/>
      <c r="JR422" s="274"/>
      <c r="JS422" s="274"/>
      <c r="JT422" s="274"/>
      <c r="JU422" s="274"/>
      <c r="JV422" s="274"/>
      <c r="JW422" s="274"/>
      <c r="JX422" s="274"/>
      <c r="JY422" s="274"/>
      <c r="JZ422" s="274"/>
      <c r="KA422" s="274"/>
      <c r="KB422" s="274"/>
      <c r="KC422" s="274"/>
      <c r="KD422" s="274"/>
      <c r="KE422" s="274"/>
      <c r="KF422" s="274"/>
      <c r="KG422" s="274"/>
      <c r="KH422" s="274"/>
      <c r="KI422" s="274"/>
      <c r="KJ422" s="274"/>
      <c r="KK422" s="274"/>
      <c r="KL422" s="274"/>
      <c r="KM422" s="274"/>
      <c r="KN422" s="274"/>
      <c r="KO422" s="274"/>
      <c r="KP422" s="274"/>
      <c r="KQ422" s="274"/>
      <c r="KR422" s="274"/>
      <c r="KS422" s="274"/>
      <c r="KT422" s="274"/>
      <c r="KU422" s="274"/>
      <c r="KV422" s="274"/>
      <c r="KW422" s="274"/>
      <c r="KX422" s="274"/>
      <c r="KY422" s="274"/>
      <c r="KZ422" s="274"/>
      <c r="LA422" s="274"/>
      <c r="LB422" s="274"/>
      <c r="LC422" s="274"/>
      <c r="LD422" s="274"/>
      <c r="LE422" s="274"/>
      <c r="LF422" s="274"/>
      <c r="LG422" s="274"/>
      <c r="LH422" s="274"/>
      <c r="LI422" s="274"/>
      <c r="LJ422" s="274"/>
      <c r="LK422" s="274"/>
      <c r="LL422" s="274"/>
      <c r="LM422" s="274"/>
      <c r="LN422" s="274"/>
      <c r="LO422" s="274"/>
      <c r="LP422" s="274"/>
      <c r="LQ422" s="274"/>
      <c r="LR422" s="274"/>
      <c r="LS422" s="274"/>
      <c r="LT422" s="274"/>
      <c r="LU422" s="274"/>
      <c r="LV422" s="274"/>
      <c r="LW422" s="274"/>
      <c r="LX422" s="274"/>
      <c r="LY422" s="274"/>
      <c r="LZ422" s="274"/>
      <c r="MA422" s="274"/>
      <c r="MB422" s="274"/>
      <c r="MC422" s="274"/>
      <c r="MD422" s="274"/>
      <c r="ME422" s="274"/>
      <c r="MF422" s="274"/>
      <c r="MG422" s="274"/>
      <c r="MH422" s="274"/>
      <c r="MI422" s="274"/>
      <c r="MJ422" s="274"/>
      <c r="MK422" s="274"/>
      <c r="ML422" s="274"/>
      <c r="MM422" s="274"/>
      <c r="MN422" s="274"/>
      <c r="MO422" s="274"/>
      <c r="MP422" s="274"/>
      <c r="MQ422" s="274"/>
      <c r="MR422" s="274"/>
      <c r="MS422" s="274"/>
      <c r="MT422" s="274"/>
      <c r="MU422" s="274"/>
      <c r="MV422" s="274"/>
      <c r="MW422" s="274"/>
      <c r="MX422" s="274"/>
      <c r="MY422" s="274"/>
      <c r="MZ422" s="274"/>
      <c r="NA422" s="274"/>
      <c r="NB422" s="274"/>
      <c r="NC422" s="274"/>
      <c r="ND422" s="274"/>
      <c r="NE422" s="274"/>
      <c r="NF422" s="274"/>
      <c r="NG422" s="274"/>
      <c r="NH422" s="274"/>
      <c r="NI422" s="274"/>
      <c r="NJ422" s="274"/>
      <c r="NK422" s="274"/>
      <c r="NL422" s="274"/>
      <c r="NM422" s="274"/>
      <c r="NN422" s="274"/>
      <c r="NO422" s="274"/>
      <c r="NP422" s="274"/>
      <c r="NQ422" s="274"/>
      <c r="NR422" s="274"/>
      <c r="NS422" s="274"/>
      <c r="NT422" s="274"/>
      <c r="NU422" s="274"/>
      <c r="NV422" s="274"/>
      <c r="NW422" s="274"/>
      <c r="NX422" s="274"/>
      <c r="NY422" s="274"/>
      <c r="NZ422" s="274"/>
      <c r="OA422" s="274"/>
      <c r="OB422" s="274"/>
      <c r="OC422" s="274"/>
      <c r="OD422" s="274"/>
      <c r="OE422" s="274"/>
      <c r="OF422" s="274"/>
      <c r="OG422" s="274"/>
      <c r="OH422" s="274"/>
      <c r="OI422" s="274"/>
      <c r="OJ422" s="274"/>
      <c r="OK422" s="274"/>
      <c r="OL422" s="274"/>
      <c r="OM422" s="274"/>
      <c r="ON422" s="274"/>
      <c r="OO422" s="274"/>
      <c r="OP422" s="274"/>
      <c r="OQ422" s="274"/>
      <c r="OR422" s="274"/>
      <c r="OS422" s="274"/>
      <c r="OT422" s="274"/>
      <c r="OU422" s="274"/>
      <c r="OV422" s="274"/>
      <c r="OW422" s="274"/>
      <c r="OX422" s="274"/>
      <c r="OY422" s="274"/>
      <c r="OZ422" s="274"/>
      <c r="PA422" s="274"/>
      <c r="PB422" s="274"/>
      <c r="PC422" s="274"/>
      <c r="PD422" s="274"/>
      <c r="PE422" s="274"/>
      <c r="PF422" s="274"/>
      <c r="PG422" s="274"/>
      <c r="PH422" s="274"/>
      <c r="PI422" s="274"/>
      <c r="PJ422" s="274"/>
      <c r="PK422" s="274"/>
      <c r="PL422" s="274"/>
      <c r="PM422" s="274"/>
      <c r="PN422" s="274"/>
      <c r="PO422" s="274"/>
      <c r="PP422" s="274"/>
      <c r="PQ422" s="274"/>
      <c r="PR422" s="274"/>
      <c r="PS422" s="274"/>
      <c r="PT422" s="274"/>
      <c r="PU422" s="274"/>
      <c r="PV422" s="274"/>
      <c r="PW422" s="274"/>
      <c r="PX422" s="274"/>
      <c r="PY422" s="274"/>
      <c r="PZ422" s="274"/>
      <c r="QA422" s="274"/>
      <c r="QB422" s="274"/>
      <c r="QC422" s="274"/>
      <c r="QD422" s="274"/>
      <c r="QE422" s="274"/>
      <c r="QF422" s="274"/>
      <c r="QG422" s="274"/>
      <c r="QH422" s="274"/>
      <c r="QI422" s="274"/>
      <c r="QJ422" s="274"/>
      <c r="QK422" s="274"/>
      <c r="QL422" s="274"/>
      <c r="QM422" s="274"/>
      <c r="QN422" s="274"/>
      <c r="QO422" s="274"/>
      <c r="QP422" s="274"/>
      <c r="QQ422" s="274"/>
      <c r="QR422" s="274"/>
      <c r="QS422" s="274"/>
      <c r="QT422" s="274"/>
      <c r="QU422" s="274"/>
      <c r="QV422" s="274"/>
      <c r="QW422" s="274"/>
      <c r="QX422" s="274"/>
      <c r="QY422" s="274"/>
      <c r="QZ422" s="274"/>
      <c r="RA422" s="274"/>
      <c r="RB422" s="274"/>
      <c r="RC422" s="274"/>
      <c r="RD422" s="274"/>
      <c r="RE422" s="274"/>
      <c r="RF422" s="274"/>
      <c r="RG422" s="274"/>
      <c r="RH422" s="274"/>
      <c r="RI422" s="274"/>
      <c r="RJ422" s="274"/>
      <c r="RK422" s="274"/>
      <c r="RL422" s="274"/>
      <c r="RM422" s="274"/>
      <c r="RN422" s="274"/>
      <c r="RO422" s="274"/>
      <c r="RP422" s="274"/>
      <c r="RQ422" s="274"/>
      <c r="RR422" s="274"/>
      <c r="RS422" s="274"/>
      <c r="RT422" s="274"/>
      <c r="RU422" s="274"/>
      <c r="RV422" s="274"/>
      <c r="RW422" s="274"/>
      <c r="RX422" s="274"/>
      <c r="RY422" s="274"/>
      <c r="RZ422" s="274"/>
      <c r="SA422" s="274"/>
      <c r="SB422" s="274"/>
      <c r="SC422" s="274"/>
      <c r="SD422" s="274"/>
      <c r="SE422" s="274"/>
      <c r="SF422" s="274"/>
      <c r="SG422" s="274"/>
      <c r="SH422" s="274"/>
      <c r="SI422" s="274"/>
      <c r="SJ422" s="274"/>
      <c r="SK422" s="274"/>
      <c r="SL422" s="274"/>
      <c r="SM422" s="274"/>
      <c r="SN422" s="274"/>
      <c r="SO422" s="274"/>
      <c r="SP422" s="274"/>
      <c r="SQ422" s="274"/>
      <c r="SR422" s="274"/>
      <c r="SS422" s="274"/>
      <c r="ST422" s="274"/>
      <c r="SU422" s="274"/>
      <c r="SV422" s="274"/>
      <c r="SW422" s="274"/>
      <c r="SX422" s="274"/>
      <c r="SY422" s="274"/>
      <c r="SZ422" s="274"/>
      <c r="TA422" s="274"/>
      <c r="TB422" s="274"/>
      <c r="TC422" s="274"/>
      <c r="TD422" s="274"/>
      <c r="TE422" s="274"/>
      <c r="TF422" s="274"/>
      <c r="TG422" s="274"/>
      <c r="TH422" s="274"/>
      <c r="TI422" s="274"/>
      <c r="TJ422" s="274"/>
      <c r="TK422" s="274"/>
      <c r="TL422" s="274"/>
      <c r="TM422" s="274"/>
      <c r="TN422" s="274"/>
      <c r="TO422" s="274"/>
      <c r="TP422" s="274"/>
      <c r="TQ422" s="274"/>
      <c r="TR422" s="274"/>
      <c r="TS422" s="274"/>
      <c r="TT422" s="274"/>
      <c r="TU422" s="274"/>
      <c r="TV422" s="274"/>
      <c r="TW422" s="274"/>
      <c r="TX422" s="274"/>
      <c r="TY422" s="274"/>
      <c r="TZ422" s="274"/>
      <c r="UA422" s="274"/>
      <c r="UB422" s="274"/>
      <c r="UC422" s="274"/>
      <c r="UD422" s="274"/>
      <c r="UE422" s="274"/>
      <c r="UF422" s="274"/>
      <c r="UG422" s="274"/>
      <c r="UH422" s="274"/>
      <c r="UI422" s="274"/>
      <c r="UJ422" s="274"/>
      <c r="UK422" s="274"/>
      <c r="UL422" s="274"/>
      <c r="UM422" s="274"/>
      <c r="UN422" s="274"/>
      <c r="UO422" s="274"/>
      <c r="UP422" s="274"/>
      <c r="UQ422" s="274"/>
      <c r="UR422" s="274"/>
      <c r="US422" s="274"/>
      <c r="UT422" s="274"/>
      <c r="UU422" s="274"/>
      <c r="UV422" s="274"/>
      <c r="UW422" s="274"/>
      <c r="UX422" s="274"/>
      <c r="UY422" s="274"/>
      <c r="UZ422" s="274"/>
      <c r="VA422" s="274"/>
      <c r="VB422" s="274"/>
      <c r="VC422" s="274"/>
      <c r="VD422" s="274"/>
      <c r="VE422" s="274"/>
      <c r="VF422" s="274"/>
      <c r="VG422" s="274"/>
      <c r="VH422" s="274"/>
      <c r="VI422" s="274"/>
      <c r="VJ422" s="274"/>
      <c r="VK422" s="274"/>
      <c r="VL422" s="274"/>
      <c r="VM422" s="274"/>
      <c r="VN422" s="274"/>
      <c r="VO422" s="274"/>
      <c r="VP422" s="274"/>
      <c r="VQ422" s="274"/>
      <c r="VR422" s="274"/>
      <c r="VS422" s="274"/>
      <c r="VT422" s="274"/>
      <c r="VU422" s="274"/>
      <c r="VV422" s="274"/>
      <c r="VW422" s="274"/>
      <c r="VX422" s="274"/>
      <c r="VY422" s="274"/>
      <c r="VZ422" s="274"/>
      <c r="WA422" s="274"/>
      <c r="WB422" s="274"/>
      <c r="WC422" s="274"/>
      <c r="WD422" s="274"/>
      <c r="WE422" s="274"/>
      <c r="WF422" s="274"/>
      <c r="WG422" s="274"/>
      <c r="WH422" s="274"/>
      <c r="WI422" s="274"/>
      <c r="WJ422" s="274"/>
      <c r="WK422" s="274"/>
      <c r="WL422" s="274"/>
      <c r="WM422" s="274"/>
      <c r="WN422" s="274"/>
      <c r="WO422" s="274"/>
      <c r="WP422" s="274"/>
      <c r="WQ422" s="274"/>
      <c r="WR422" s="274"/>
      <c r="WS422" s="274"/>
      <c r="WT422" s="274"/>
      <c r="WU422" s="274"/>
      <c r="WV422" s="274"/>
      <c r="WW422" s="274"/>
      <c r="WX422" s="274"/>
      <c r="WY422" s="274"/>
      <c r="WZ422" s="274"/>
      <c r="XA422" s="274"/>
      <c r="XB422" s="274"/>
      <c r="XC422" s="274"/>
      <c r="XD422" s="274"/>
      <c r="XE422" s="274"/>
      <c r="XF422" s="274"/>
      <c r="XG422" s="274"/>
      <c r="XH422" s="274"/>
      <c r="XI422" s="274"/>
      <c r="XJ422" s="274"/>
      <c r="XK422" s="274"/>
      <c r="XL422" s="274"/>
      <c r="XM422" s="274"/>
      <c r="XN422" s="274"/>
      <c r="XO422" s="274"/>
      <c r="XP422" s="274"/>
      <c r="XQ422" s="274"/>
      <c r="XR422" s="274"/>
      <c r="XS422" s="274"/>
      <c r="XT422" s="274"/>
      <c r="XU422" s="274"/>
      <c r="XV422" s="274"/>
      <c r="XW422" s="274"/>
      <c r="XX422" s="274"/>
      <c r="XY422" s="274"/>
      <c r="XZ422" s="274"/>
      <c r="YA422" s="274"/>
      <c r="YB422" s="274"/>
      <c r="YC422" s="274"/>
      <c r="YD422" s="274"/>
      <c r="YE422" s="274"/>
      <c r="YF422" s="274"/>
      <c r="YG422" s="274"/>
      <c r="YH422" s="274"/>
      <c r="YI422" s="274"/>
      <c r="YJ422" s="274"/>
      <c r="YK422" s="274"/>
      <c r="YL422" s="274"/>
      <c r="YM422" s="274"/>
      <c r="YN422" s="274"/>
      <c r="YO422" s="274"/>
      <c r="YP422" s="274"/>
      <c r="YQ422" s="274"/>
      <c r="YR422" s="274"/>
      <c r="YS422" s="274"/>
      <c r="YT422" s="274"/>
      <c r="YU422" s="274"/>
      <c r="YV422" s="274"/>
      <c r="YW422" s="274"/>
      <c r="YX422" s="274"/>
      <c r="YY422" s="274"/>
      <c r="YZ422" s="274"/>
      <c r="ZA422" s="274"/>
      <c r="ZB422" s="274"/>
      <c r="ZC422" s="274"/>
      <c r="ZD422" s="274"/>
      <c r="ZE422" s="274"/>
      <c r="ZF422" s="274"/>
      <c r="ZG422" s="274"/>
      <c r="ZH422" s="274"/>
      <c r="ZI422" s="274"/>
      <c r="ZJ422" s="274"/>
      <c r="ZK422" s="274"/>
      <c r="ZL422" s="274"/>
      <c r="ZM422" s="274"/>
      <c r="ZN422" s="274"/>
      <c r="ZO422" s="274"/>
      <c r="ZP422" s="274"/>
      <c r="ZQ422" s="274"/>
      <c r="ZR422" s="274"/>
      <c r="ZS422" s="274"/>
      <c r="ZT422" s="274"/>
      <c r="ZU422" s="274"/>
      <c r="ZV422" s="274"/>
      <c r="ZW422" s="274"/>
      <c r="ZX422" s="274"/>
      <c r="ZY422" s="274"/>
      <c r="ZZ422" s="274"/>
      <c r="AAA422" s="274"/>
      <c r="AAB422" s="274"/>
      <c r="AAC422" s="274"/>
      <c r="AAD422" s="274"/>
      <c r="AAE422" s="274"/>
      <c r="AAF422" s="274"/>
      <c r="AAG422" s="274"/>
      <c r="AAH422" s="274"/>
      <c r="AAI422" s="274"/>
      <c r="AAJ422" s="274"/>
      <c r="AAK422" s="274"/>
      <c r="AAL422" s="274"/>
      <c r="AAM422" s="274"/>
      <c r="AAN422" s="274"/>
      <c r="AAO422" s="274"/>
      <c r="AAP422" s="274"/>
      <c r="AAQ422" s="274"/>
      <c r="AAR422" s="274"/>
      <c r="AAS422" s="274"/>
      <c r="AAT422" s="274"/>
      <c r="AAU422" s="274"/>
      <c r="AAV422" s="274"/>
      <c r="AAW422" s="274"/>
      <c r="AAX422" s="274"/>
      <c r="AAY422" s="274"/>
      <c r="AAZ422" s="274"/>
      <c r="ABA422" s="274"/>
      <c r="ABB422" s="274"/>
      <c r="ABC422" s="274"/>
      <c r="ABD422" s="274"/>
      <c r="ABE422" s="274"/>
      <c r="ABF422" s="274"/>
      <c r="ABG422" s="274"/>
      <c r="ABH422" s="274"/>
      <c r="ABI422" s="274"/>
      <c r="ABJ422" s="274"/>
      <c r="ABK422" s="274"/>
      <c r="ABL422" s="274"/>
      <c r="ABM422" s="274"/>
      <c r="ABN422" s="274"/>
      <c r="ABO422" s="274"/>
      <c r="ABP422" s="274"/>
      <c r="ABQ422" s="274"/>
      <c r="ABR422" s="274"/>
      <c r="ABS422" s="274"/>
      <c r="ABT422" s="274"/>
      <c r="ABU422" s="274"/>
      <c r="ABV422" s="274"/>
      <c r="ABW422" s="274"/>
      <c r="ABX422" s="274"/>
      <c r="ABY422" s="274"/>
      <c r="ABZ422" s="274"/>
      <c r="ACA422" s="274"/>
      <c r="ACB422" s="274"/>
      <c r="ACC422" s="274"/>
      <c r="ACD422" s="274"/>
      <c r="ACE422" s="274"/>
      <c r="ACF422" s="274"/>
      <c r="ACG422" s="274"/>
      <c r="ACH422" s="274"/>
      <c r="ACI422" s="274"/>
      <c r="ACJ422" s="274"/>
      <c r="ACK422" s="274"/>
      <c r="ACL422" s="274"/>
      <c r="ACM422" s="274"/>
      <c r="ACN422" s="274"/>
      <c r="ACO422" s="274"/>
      <c r="ACP422" s="274"/>
      <c r="ACQ422" s="274"/>
      <c r="ACR422" s="274"/>
      <c r="ACS422" s="274"/>
      <c r="ACT422" s="274"/>
      <c r="ACU422" s="274"/>
      <c r="ACV422" s="274"/>
      <c r="ACW422" s="274"/>
      <c r="ACX422" s="274"/>
      <c r="ACY422" s="274"/>
      <c r="ACZ422" s="274"/>
      <c r="ADA422" s="274"/>
      <c r="ADB422" s="274"/>
      <c r="ADC422" s="274"/>
      <c r="ADD422" s="274"/>
      <c r="ADE422" s="274"/>
      <c r="ADF422" s="274"/>
      <c r="ADG422" s="274"/>
      <c r="ADH422" s="274"/>
      <c r="ADI422" s="274"/>
      <c r="ADJ422" s="274"/>
      <c r="ADK422" s="274"/>
      <c r="ADL422" s="274"/>
      <c r="ADM422" s="274"/>
      <c r="ADN422" s="274"/>
      <c r="ADO422" s="274"/>
      <c r="ADP422" s="274"/>
      <c r="ADQ422" s="274"/>
      <c r="ADR422" s="274"/>
      <c r="ADS422" s="274"/>
      <c r="ADT422" s="274"/>
      <c r="ADU422" s="274"/>
      <c r="ADV422" s="274"/>
      <c r="ADW422" s="274"/>
      <c r="ADX422" s="274"/>
      <c r="ADY422" s="274"/>
      <c r="ADZ422" s="274"/>
      <c r="AEA422" s="274"/>
      <c r="AEB422" s="274"/>
      <c r="AEC422" s="274"/>
      <c r="AED422" s="274"/>
      <c r="AEE422" s="274"/>
      <c r="AEF422" s="274"/>
      <c r="AEG422" s="274"/>
      <c r="AEH422" s="274"/>
      <c r="AEI422" s="274"/>
      <c r="AEJ422" s="274"/>
      <c r="AEK422" s="274"/>
      <c r="AEL422" s="274"/>
      <c r="AEM422" s="274"/>
      <c r="AEN422" s="274"/>
      <c r="AEO422" s="274"/>
      <c r="AEP422" s="274"/>
      <c r="AEQ422" s="274"/>
      <c r="AER422" s="274"/>
      <c r="AES422" s="274"/>
      <c r="AET422" s="274"/>
      <c r="AEU422" s="274"/>
      <c r="AEV422" s="274"/>
      <c r="AEW422" s="274"/>
      <c r="AEX422" s="274"/>
      <c r="AEY422" s="274"/>
      <c r="AEZ422" s="274"/>
      <c r="AFA422" s="274"/>
      <c r="AFB422" s="274"/>
      <c r="AFC422" s="274"/>
      <c r="AFD422" s="274"/>
      <c r="AFE422" s="274"/>
      <c r="AFF422" s="274"/>
      <c r="AFG422" s="274"/>
      <c r="AFH422" s="274"/>
      <c r="AFI422" s="274"/>
      <c r="AFJ422" s="274"/>
      <c r="AFK422" s="274"/>
      <c r="AFL422" s="274"/>
      <c r="AFM422" s="274"/>
      <c r="AFN422" s="274"/>
      <c r="AFO422" s="274"/>
      <c r="AFP422" s="274"/>
      <c r="AFQ422" s="274"/>
      <c r="AFR422" s="274"/>
      <c r="AFS422" s="274"/>
      <c r="AFT422" s="274"/>
      <c r="AFU422" s="274"/>
      <c r="AFV422" s="274"/>
      <c r="AFW422" s="274"/>
      <c r="AFX422" s="274"/>
      <c r="AFY422" s="274"/>
      <c r="AFZ422" s="274"/>
      <c r="AGA422" s="274"/>
      <c r="AGB422" s="274"/>
      <c r="AGC422" s="274"/>
      <c r="AGD422" s="274"/>
      <c r="AGE422" s="274"/>
      <c r="AGF422" s="274"/>
      <c r="AGG422" s="274"/>
      <c r="AGH422" s="274"/>
      <c r="AGI422" s="274"/>
      <c r="AGJ422" s="274"/>
      <c r="AGK422" s="274"/>
      <c r="AGL422" s="274"/>
      <c r="AGM422" s="274"/>
      <c r="AGN422" s="274"/>
      <c r="AGO422" s="274"/>
      <c r="AGP422" s="274"/>
      <c r="AGQ422" s="274"/>
      <c r="AGR422" s="274"/>
      <c r="AGS422" s="274"/>
      <c r="AGT422" s="274"/>
      <c r="AGU422" s="274"/>
      <c r="AGV422" s="274"/>
      <c r="AGW422" s="274"/>
      <c r="AGX422" s="274"/>
      <c r="AGY422" s="274"/>
      <c r="AGZ422" s="274"/>
      <c r="AHA422" s="274"/>
      <c r="AHB422" s="274"/>
      <c r="AHC422" s="274"/>
      <c r="AHD422" s="274"/>
      <c r="AHE422" s="274"/>
      <c r="AHF422" s="274"/>
      <c r="AHG422" s="274"/>
      <c r="AHH422" s="274"/>
      <c r="AHI422" s="274"/>
      <c r="AHJ422" s="274"/>
      <c r="AHK422" s="274"/>
      <c r="AHL422" s="274"/>
      <c r="AHM422" s="274"/>
      <c r="AHN422" s="274"/>
      <c r="AHO422" s="274"/>
      <c r="AHP422" s="274"/>
      <c r="AHQ422" s="274"/>
      <c r="AHR422" s="274"/>
      <c r="AHS422" s="274"/>
      <c r="AHT422" s="274"/>
      <c r="AHU422" s="274"/>
      <c r="AHV422" s="274"/>
      <c r="AHW422" s="274"/>
      <c r="AHX422" s="274"/>
      <c r="AHY422" s="274"/>
      <c r="AHZ422" s="274"/>
      <c r="AIA422" s="274"/>
      <c r="AIB422" s="274"/>
      <c r="AIC422" s="274"/>
      <c r="AID422" s="274"/>
      <c r="AIE422" s="274"/>
      <c r="AIF422" s="274"/>
      <c r="AIG422" s="274"/>
      <c r="AIH422" s="274"/>
      <c r="AII422" s="274"/>
      <c r="AIJ422" s="274"/>
      <c r="AIK422" s="274"/>
      <c r="AIL422" s="274"/>
      <c r="AIM422" s="274"/>
      <c r="AIN422" s="274"/>
      <c r="AIO422" s="274"/>
      <c r="AIP422" s="274"/>
      <c r="AIQ422" s="274"/>
      <c r="AIR422" s="274"/>
      <c r="AIS422" s="274"/>
      <c r="AIT422" s="274"/>
      <c r="AIU422" s="274"/>
      <c r="AIV422" s="274"/>
      <c r="AIW422" s="274"/>
      <c r="AIX422" s="274"/>
      <c r="AIY422" s="274"/>
      <c r="AIZ422" s="274"/>
      <c r="AJA422" s="274"/>
      <c r="AJB422" s="274"/>
      <c r="AJC422" s="274"/>
      <c r="AJD422" s="274"/>
      <c r="AJE422" s="274"/>
      <c r="AJF422" s="274"/>
      <c r="AJG422" s="274"/>
      <c r="AJH422" s="274"/>
      <c r="AJI422" s="274"/>
      <c r="AJJ422" s="274"/>
      <c r="AJK422" s="274"/>
      <c r="AJL422" s="274"/>
      <c r="AJM422" s="274"/>
      <c r="AJN422" s="274"/>
      <c r="AJO422" s="274"/>
      <c r="AJP422" s="274"/>
      <c r="AJQ422" s="274"/>
      <c r="AJR422" s="274"/>
      <c r="AJS422" s="274"/>
      <c r="AJT422" s="274"/>
      <c r="AJU422" s="274"/>
      <c r="AJV422" s="274"/>
      <c r="AJW422" s="274"/>
      <c r="AJX422" s="274"/>
      <c r="AJY422" s="274"/>
      <c r="AJZ422" s="274"/>
      <c r="AKA422" s="274"/>
      <c r="AKB422" s="274"/>
      <c r="AKC422" s="274"/>
      <c r="AKD422" s="274"/>
      <c r="AKE422" s="274"/>
      <c r="AKF422" s="274"/>
      <c r="AKG422" s="274"/>
      <c r="AKH422" s="274"/>
      <c r="AKI422" s="274"/>
      <c r="AKJ422" s="274"/>
      <c r="AKK422" s="274"/>
      <c r="AKL422" s="274"/>
      <c r="AKM422" s="274"/>
      <c r="AKN422" s="274"/>
      <c r="AKO422" s="274"/>
      <c r="AKP422" s="274"/>
      <c r="AKQ422" s="274"/>
      <c r="AKR422" s="274"/>
      <c r="AKS422" s="274"/>
      <c r="AKT422" s="274"/>
      <c r="AKU422" s="274"/>
      <c r="AKV422" s="274"/>
      <c r="AKW422" s="274"/>
      <c r="AKX422" s="274"/>
      <c r="AKY422" s="274"/>
      <c r="AKZ422" s="274"/>
      <c r="ALA422" s="274"/>
      <c r="ALB422" s="274"/>
      <c r="ALC422" s="274"/>
      <c r="ALD422" s="274"/>
      <c r="ALE422" s="274"/>
      <c r="ALF422" s="274"/>
      <c r="ALG422" s="274"/>
      <c r="ALH422" s="274"/>
      <c r="ALI422" s="274"/>
      <c r="ALJ422" s="274"/>
      <c r="ALK422" s="274"/>
      <c r="ALL422" s="274"/>
      <c r="ALM422" s="274"/>
      <c r="ALN422" s="274"/>
      <c r="ALO422" s="274"/>
      <c r="ALP422" s="274"/>
      <c r="ALQ422" s="274"/>
      <c r="ALR422" s="274"/>
      <c r="ALS422" s="274"/>
      <c r="ALT422" s="274"/>
      <c r="ALU422" s="274"/>
      <c r="ALV422" s="274"/>
      <c r="ALW422" s="274"/>
      <c r="ALX422" s="274"/>
      <c r="ALY422" s="274"/>
      <c r="ALZ422" s="274"/>
      <c r="AMA422" s="274"/>
      <c r="AMB422" s="274"/>
      <c r="AMC422" s="274"/>
      <c r="AMD422" s="274"/>
      <c r="AME422" s="274"/>
      <c r="AMF422" s="274"/>
      <c r="AMG422" s="274"/>
      <c r="AMH422" s="274"/>
      <c r="AMI422" s="274"/>
      <c r="AMJ422" s="274"/>
      <c r="AMK422" s="274"/>
      <c r="AML422" s="274"/>
      <c r="AMM422" s="274"/>
      <c r="AMN422" s="274"/>
      <c r="AMO422" s="274"/>
      <c r="AMP422" s="274"/>
      <c r="AMQ422" s="274"/>
      <c r="AMR422" s="274"/>
      <c r="AMS422" s="274"/>
      <c r="AMT422" s="274"/>
      <c r="AMU422" s="274"/>
      <c r="AMV422" s="274"/>
      <c r="AMW422" s="274"/>
      <c r="AMX422" s="274"/>
      <c r="AMY422" s="274"/>
      <c r="AMZ422" s="274"/>
      <c r="ANA422" s="274"/>
      <c r="ANB422" s="274"/>
      <c r="ANC422" s="274"/>
      <c r="AND422" s="274"/>
      <c r="ANE422" s="274"/>
      <c r="ANF422" s="274"/>
      <c r="ANG422" s="274"/>
      <c r="ANH422" s="274"/>
      <c r="ANI422" s="274"/>
      <c r="ANJ422" s="274"/>
      <c r="ANK422" s="274"/>
      <c r="ANL422" s="274"/>
      <c r="ANM422" s="274"/>
      <c r="ANN422" s="274"/>
      <c r="ANO422" s="274"/>
      <c r="ANP422" s="274"/>
      <c r="ANQ422" s="274"/>
      <c r="ANR422" s="274"/>
      <c r="ANS422" s="274"/>
      <c r="ANT422" s="274"/>
      <c r="ANU422" s="274"/>
      <c r="ANV422" s="274"/>
      <c r="ANW422" s="274"/>
      <c r="ANX422" s="274"/>
      <c r="ANY422" s="274"/>
      <c r="ANZ422" s="274"/>
      <c r="AOA422" s="274"/>
      <c r="AOB422" s="274"/>
      <c r="AOC422" s="274"/>
      <c r="AOD422" s="274"/>
      <c r="AOE422" s="274"/>
      <c r="AOF422" s="274"/>
      <c r="AOG422" s="274"/>
      <c r="AOH422" s="274"/>
      <c r="AOI422" s="274"/>
      <c r="AOJ422" s="274"/>
      <c r="AOK422" s="274"/>
      <c r="AOL422" s="274"/>
      <c r="AOM422" s="274"/>
      <c r="AON422" s="274"/>
      <c r="AOO422" s="274"/>
      <c r="AOP422" s="274"/>
      <c r="AOQ422" s="274"/>
      <c r="AOR422" s="274"/>
      <c r="AOS422" s="274"/>
      <c r="AOT422" s="274"/>
      <c r="AOU422" s="274"/>
      <c r="AOV422" s="274"/>
      <c r="AOW422" s="274"/>
      <c r="AOX422" s="274"/>
      <c r="AOY422" s="274"/>
      <c r="AOZ422" s="274"/>
      <c r="APA422" s="274"/>
      <c r="APB422" s="274"/>
      <c r="APC422" s="274"/>
      <c r="APD422" s="274"/>
      <c r="APE422" s="274"/>
      <c r="APF422" s="274"/>
      <c r="APG422" s="274"/>
      <c r="APH422" s="274"/>
      <c r="API422" s="274"/>
      <c r="APJ422" s="274"/>
      <c r="APK422" s="274"/>
      <c r="APL422" s="274"/>
      <c r="APM422" s="274"/>
      <c r="APN422" s="274"/>
      <c r="APO422" s="274"/>
      <c r="APP422" s="274"/>
      <c r="APQ422" s="274"/>
      <c r="APR422" s="274"/>
      <c r="APS422" s="274"/>
      <c r="APT422" s="274"/>
      <c r="APU422" s="274"/>
      <c r="APV422" s="274"/>
      <c r="APW422" s="274"/>
      <c r="APX422" s="274"/>
      <c r="APY422" s="274"/>
      <c r="APZ422" s="274"/>
      <c r="AQA422" s="274"/>
      <c r="AQB422" s="274"/>
      <c r="AQC422" s="274"/>
      <c r="AQD422" s="274"/>
      <c r="AQE422" s="274"/>
      <c r="AQF422" s="274"/>
      <c r="AQG422" s="274"/>
      <c r="AQH422" s="274"/>
      <c r="AQI422" s="274"/>
      <c r="AQJ422" s="274"/>
      <c r="AQK422" s="274"/>
      <c r="AQL422" s="274"/>
      <c r="AQM422" s="274"/>
      <c r="AQN422" s="274"/>
      <c r="AQO422" s="274"/>
      <c r="AQP422" s="274"/>
      <c r="AQQ422" s="274"/>
      <c r="AQR422" s="274"/>
      <c r="AQS422" s="274"/>
      <c r="AQT422" s="274"/>
      <c r="AQU422" s="274"/>
      <c r="AQV422" s="274"/>
      <c r="AQW422" s="274"/>
      <c r="AQX422" s="274"/>
      <c r="AQY422" s="274"/>
      <c r="AQZ422" s="274"/>
      <c r="ARA422" s="274"/>
      <c r="ARB422" s="274"/>
      <c r="ARC422" s="274"/>
      <c r="ARD422" s="274"/>
      <c r="ARE422" s="274"/>
      <c r="ARF422" s="274"/>
      <c r="ARG422" s="274"/>
      <c r="ARH422" s="274"/>
      <c r="ARI422" s="274"/>
      <c r="ARJ422" s="274"/>
      <c r="ARK422" s="274"/>
      <c r="ARL422" s="274"/>
      <c r="ARM422" s="274"/>
      <c r="ARN422" s="274"/>
      <c r="ARO422" s="274"/>
      <c r="ARP422" s="274"/>
      <c r="ARQ422" s="274"/>
      <c r="ARR422" s="274"/>
      <c r="ARS422" s="274"/>
      <c r="ART422" s="274"/>
      <c r="ARU422" s="274"/>
      <c r="ARV422" s="274"/>
      <c r="ARW422" s="274"/>
      <c r="ARX422" s="274"/>
      <c r="ARY422" s="274"/>
      <c r="ARZ422" s="274"/>
      <c r="ASA422" s="274"/>
      <c r="ASB422" s="274"/>
      <c r="ASC422" s="274"/>
      <c r="ASD422" s="274"/>
      <c r="ASE422" s="274"/>
      <c r="ASF422" s="274"/>
      <c r="ASG422" s="274"/>
      <c r="ASH422" s="274"/>
      <c r="ASI422" s="274"/>
      <c r="ASJ422" s="274"/>
      <c r="ASK422" s="274"/>
      <c r="ASL422" s="274"/>
      <c r="ASM422" s="274"/>
      <c r="ASN422" s="274"/>
      <c r="ASO422" s="274"/>
      <c r="ASP422" s="274"/>
      <c r="ASQ422" s="274"/>
      <c r="ASR422" s="274"/>
      <c r="ASS422" s="274"/>
      <c r="AST422" s="274"/>
      <c r="ASU422" s="274"/>
      <c r="ASV422" s="274"/>
      <c r="ASW422" s="274"/>
      <c r="ASX422" s="274"/>
      <c r="ASY422" s="274"/>
      <c r="ASZ422" s="274"/>
      <c r="ATA422" s="274"/>
      <c r="ATB422" s="274"/>
      <c r="ATC422" s="274"/>
      <c r="ATD422" s="274"/>
      <c r="ATE422" s="274"/>
      <c r="ATF422" s="274"/>
      <c r="ATG422" s="274"/>
      <c r="ATH422" s="274"/>
      <c r="ATI422" s="274"/>
      <c r="ATJ422" s="274"/>
      <c r="ATK422" s="274"/>
      <c r="ATL422" s="274"/>
      <c r="ATM422" s="274"/>
      <c r="ATN422" s="274"/>
      <c r="ATO422" s="274"/>
      <c r="ATP422" s="274"/>
      <c r="ATQ422" s="274"/>
      <c r="ATR422" s="274"/>
      <c r="ATS422" s="274"/>
      <c r="ATT422" s="274"/>
      <c r="ATU422" s="274"/>
      <c r="ATV422" s="274"/>
      <c r="ATW422" s="274"/>
      <c r="ATX422" s="274"/>
      <c r="ATY422" s="274"/>
      <c r="ATZ422" s="274"/>
      <c r="AUA422" s="274"/>
      <c r="AUB422" s="274"/>
      <c r="AUC422" s="274"/>
      <c r="AUD422" s="274"/>
      <c r="AUE422" s="274"/>
      <c r="AUF422" s="274"/>
      <c r="AUG422" s="274"/>
      <c r="AUH422" s="274"/>
      <c r="AUI422" s="274"/>
      <c r="AUJ422" s="274"/>
      <c r="AUK422" s="274"/>
      <c r="AUL422" s="274"/>
      <c r="AUM422" s="274"/>
      <c r="AUN422" s="274"/>
      <c r="AUO422" s="274"/>
      <c r="AUP422" s="274"/>
      <c r="AUQ422" s="274"/>
      <c r="AUR422" s="274"/>
      <c r="AUS422" s="274"/>
      <c r="AUT422" s="274"/>
      <c r="AUU422" s="274"/>
      <c r="AUV422" s="274"/>
      <c r="AUW422" s="274"/>
      <c r="AUX422" s="274"/>
      <c r="AUY422" s="274"/>
      <c r="AUZ422" s="274"/>
      <c r="AVA422" s="274"/>
      <c r="AVB422" s="274"/>
      <c r="AVC422" s="274"/>
      <c r="AVD422" s="274"/>
      <c r="AVE422" s="274"/>
      <c r="AVF422" s="274"/>
      <c r="AVG422" s="274"/>
      <c r="AVH422" s="274"/>
      <c r="AVI422" s="274"/>
      <c r="AVJ422" s="274"/>
      <c r="AVK422" s="274"/>
      <c r="AVL422" s="274"/>
      <c r="AVM422" s="274"/>
      <c r="AVN422" s="274"/>
      <c r="AVO422" s="274"/>
      <c r="AVP422" s="274"/>
      <c r="AVQ422" s="274"/>
      <c r="AVR422" s="274"/>
      <c r="AVS422" s="274"/>
      <c r="AVT422" s="274"/>
      <c r="AVU422" s="274"/>
      <c r="AVV422" s="274"/>
      <c r="AVW422" s="274"/>
      <c r="AVX422" s="274"/>
      <c r="AVY422" s="274"/>
      <c r="AVZ422" s="274"/>
      <c r="AWA422" s="274"/>
      <c r="AWB422" s="274"/>
      <c r="AWC422" s="274"/>
      <c r="AWD422" s="274"/>
      <c r="AWE422" s="274"/>
      <c r="AWF422" s="274"/>
      <c r="AWG422" s="274"/>
      <c r="AWH422" s="274"/>
      <c r="AWI422" s="274"/>
      <c r="AWJ422" s="274"/>
      <c r="AWK422" s="274"/>
      <c r="AWL422" s="274"/>
      <c r="AWM422" s="274"/>
      <c r="AWN422" s="274"/>
      <c r="AWO422" s="274"/>
      <c r="AWP422" s="274"/>
      <c r="AWQ422" s="274"/>
      <c r="AWR422" s="274"/>
      <c r="AWS422" s="274"/>
      <c r="AWT422" s="274"/>
      <c r="AWU422" s="274"/>
      <c r="AWV422" s="274"/>
      <c r="AWW422" s="274"/>
      <c r="AWX422" s="274"/>
      <c r="AWY422" s="274"/>
      <c r="AWZ422" s="274"/>
      <c r="AXA422" s="274"/>
      <c r="AXB422" s="274"/>
      <c r="AXC422" s="274"/>
      <c r="AXD422" s="274"/>
      <c r="AXE422" s="274"/>
      <c r="AXF422" s="274"/>
      <c r="AXG422" s="274"/>
      <c r="AXH422" s="274"/>
      <c r="AXI422" s="274"/>
      <c r="AXJ422" s="274"/>
      <c r="AXK422" s="274"/>
      <c r="AXL422" s="274"/>
      <c r="AXM422" s="274"/>
      <c r="AXN422" s="274"/>
      <c r="AXO422" s="274"/>
      <c r="AXP422" s="274"/>
      <c r="AXQ422" s="274"/>
      <c r="AXR422" s="274"/>
      <c r="AXS422" s="274"/>
      <c r="AXT422" s="274"/>
      <c r="AXU422" s="274"/>
      <c r="AXV422" s="274"/>
      <c r="AXW422" s="274"/>
      <c r="AXX422" s="274"/>
      <c r="AXY422" s="274"/>
      <c r="AXZ422" s="274"/>
      <c r="AYA422" s="274"/>
      <c r="AYB422" s="274"/>
      <c r="AYC422" s="274"/>
      <c r="AYD422" s="274"/>
      <c r="AYE422" s="274"/>
      <c r="AYF422" s="274"/>
      <c r="AYG422" s="274"/>
      <c r="AYH422" s="274"/>
      <c r="AYI422" s="274"/>
      <c r="AYJ422" s="274"/>
      <c r="AYK422" s="274"/>
      <c r="AYL422" s="274"/>
      <c r="AYM422" s="274"/>
      <c r="AYN422" s="274"/>
      <c r="AYO422" s="274"/>
      <c r="AYP422" s="274"/>
      <c r="AYQ422" s="274"/>
      <c r="AYR422" s="274"/>
      <c r="AYS422" s="274"/>
      <c r="AYT422" s="274"/>
      <c r="AYU422" s="274"/>
      <c r="AYV422" s="274"/>
      <c r="AYW422" s="274"/>
      <c r="AYX422" s="274"/>
      <c r="AYY422" s="274"/>
      <c r="AYZ422" s="274"/>
      <c r="AZA422" s="274"/>
      <c r="AZB422" s="274"/>
      <c r="AZC422" s="274"/>
      <c r="AZD422" s="274"/>
      <c r="AZE422" s="274"/>
      <c r="AZF422" s="274"/>
      <c r="AZG422" s="274"/>
      <c r="AZH422" s="274"/>
      <c r="AZI422" s="274"/>
      <c r="AZJ422" s="274"/>
      <c r="AZK422" s="274"/>
      <c r="AZL422" s="274"/>
      <c r="AZM422" s="274"/>
      <c r="AZN422" s="274"/>
      <c r="AZO422" s="274"/>
      <c r="AZP422" s="274"/>
      <c r="AZQ422" s="274"/>
      <c r="AZR422" s="274"/>
      <c r="AZS422" s="274"/>
      <c r="AZT422" s="274"/>
      <c r="AZU422" s="274"/>
      <c r="AZV422" s="274"/>
      <c r="AZW422" s="274"/>
      <c r="AZX422" s="274"/>
      <c r="AZY422" s="274"/>
      <c r="AZZ422" s="274"/>
      <c r="BAA422" s="274"/>
      <c r="BAB422" s="274"/>
      <c r="BAC422" s="274"/>
      <c r="BAD422" s="274"/>
      <c r="BAE422" s="274"/>
      <c r="BAF422" s="274"/>
      <c r="BAG422" s="274"/>
      <c r="BAH422" s="274"/>
      <c r="BAI422" s="274"/>
      <c r="BAJ422" s="274"/>
      <c r="BAK422" s="274"/>
      <c r="BAL422" s="274"/>
      <c r="BAM422" s="274"/>
      <c r="BAN422" s="274"/>
      <c r="BAO422" s="274"/>
      <c r="BAP422" s="274"/>
      <c r="BAQ422" s="274"/>
      <c r="BAR422" s="274"/>
      <c r="BAS422" s="274"/>
      <c r="BAT422" s="274"/>
      <c r="BAU422" s="274"/>
      <c r="BAV422" s="274"/>
      <c r="BAW422" s="274"/>
      <c r="BAX422" s="274"/>
      <c r="BAY422" s="274"/>
      <c r="BAZ422" s="274"/>
      <c r="BBA422" s="274"/>
      <c r="BBB422" s="274"/>
      <c r="BBC422" s="274"/>
      <c r="BBD422" s="274"/>
      <c r="BBE422" s="274"/>
      <c r="BBF422" s="274"/>
      <c r="BBG422" s="274"/>
      <c r="BBH422" s="274"/>
      <c r="BBI422" s="274"/>
      <c r="BBJ422" s="274"/>
      <c r="BBK422" s="274"/>
      <c r="BBL422" s="274"/>
      <c r="BBM422" s="274"/>
      <c r="BBN422" s="274"/>
      <c r="BBO422" s="274"/>
      <c r="BBP422" s="274"/>
      <c r="BBQ422" s="274"/>
      <c r="BBR422" s="274"/>
      <c r="BBS422" s="274"/>
      <c r="BBT422" s="274"/>
      <c r="BBU422" s="274"/>
      <c r="BBV422" s="274"/>
      <c r="BBW422" s="274"/>
      <c r="BBX422" s="274"/>
      <c r="BBY422" s="274"/>
      <c r="BBZ422" s="274"/>
      <c r="BCA422" s="274"/>
      <c r="BCB422" s="274"/>
      <c r="BCC422" s="274"/>
      <c r="BCD422" s="274"/>
      <c r="BCE422" s="274"/>
      <c r="BCF422" s="274"/>
      <c r="BCG422" s="274"/>
      <c r="BCH422" s="274"/>
      <c r="BCI422" s="274"/>
      <c r="BCJ422" s="274"/>
      <c r="BCK422" s="274"/>
      <c r="BCL422" s="274"/>
      <c r="BCM422" s="274"/>
      <c r="BCN422" s="274"/>
      <c r="BCO422" s="274"/>
      <c r="BCP422" s="274"/>
      <c r="BCQ422" s="274"/>
      <c r="BCR422" s="274"/>
      <c r="BCS422" s="274"/>
      <c r="BCT422" s="274"/>
      <c r="BCU422" s="274"/>
      <c r="BCV422" s="274"/>
      <c r="BCW422" s="274"/>
      <c r="BCX422" s="274"/>
      <c r="BCY422" s="274"/>
      <c r="BCZ422" s="274"/>
      <c r="BDA422" s="274"/>
      <c r="BDB422" s="274"/>
      <c r="BDC422" s="274"/>
      <c r="BDD422" s="274"/>
      <c r="BDE422" s="274"/>
      <c r="BDF422" s="274"/>
      <c r="BDG422" s="274"/>
      <c r="BDH422" s="274"/>
      <c r="BDI422" s="274"/>
      <c r="BDJ422" s="274"/>
      <c r="BDK422" s="274"/>
      <c r="BDL422" s="274"/>
      <c r="BDM422" s="274"/>
      <c r="BDN422" s="274"/>
      <c r="BDO422" s="274"/>
      <c r="BDP422" s="274"/>
      <c r="BDQ422" s="274"/>
      <c r="BDR422" s="274"/>
      <c r="BDS422" s="274"/>
      <c r="BDT422" s="274"/>
      <c r="BDU422" s="274"/>
      <c r="BDV422" s="274"/>
      <c r="BDW422" s="274"/>
      <c r="BDX422" s="274"/>
      <c r="BDY422" s="274"/>
      <c r="BDZ422" s="274"/>
      <c r="BEA422" s="274"/>
      <c r="BEB422" s="274"/>
      <c r="BEC422" s="274"/>
      <c r="BED422" s="274"/>
      <c r="BEE422" s="274"/>
      <c r="BEF422" s="274"/>
      <c r="BEG422" s="274"/>
      <c r="BEH422" s="274"/>
      <c r="BEI422" s="274"/>
      <c r="BEJ422" s="274"/>
      <c r="BEK422" s="274"/>
      <c r="BEL422" s="274"/>
      <c r="BEM422" s="274"/>
      <c r="BEN422" s="274"/>
      <c r="BEO422" s="274"/>
      <c r="BEP422" s="274"/>
      <c r="BEQ422" s="274"/>
      <c r="BER422" s="274"/>
      <c r="BES422" s="274"/>
      <c r="BET422" s="274"/>
      <c r="BEU422" s="274"/>
      <c r="BEV422" s="274"/>
      <c r="BEW422" s="274"/>
      <c r="BEX422" s="274"/>
      <c r="BEY422" s="274"/>
      <c r="BEZ422" s="274"/>
      <c r="BFA422" s="274"/>
      <c r="BFB422" s="274"/>
      <c r="BFC422" s="274"/>
      <c r="BFD422" s="274"/>
      <c r="BFE422" s="274"/>
      <c r="BFF422" s="274"/>
      <c r="BFG422" s="274"/>
      <c r="BFH422" s="274"/>
      <c r="BFI422" s="274"/>
      <c r="BFJ422" s="274"/>
      <c r="BFK422" s="274"/>
      <c r="BFL422" s="274"/>
      <c r="BFM422" s="274"/>
      <c r="BFN422" s="274"/>
      <c r="BFO422" s="274"/>
      <c r="BFP422" s="274"/>
      <c r="BFQ422" s="274"/>
      <c r="BFR422" s="274"/>
      <c r="BFS422" s="274"/>
      <c r="BFT422" s="274"/>
      <c r="BFU422" s="274"/>
      <c r="BFV422" s="274"/>
      <c r="BFW422" s="274"/>
      <c r="BFX422" s="274"/>
      <c r="BFY422" s="274"/>
      <c r="BFZ422" s="274"/>
      <c r="BGA422" s="274"/>
      <c r="BGB422" s="274"/>
      <c r="BGC422" s="274"/>
      <c r="BGD422" s="274"/>
      <c r="BGE422" s="274"/>
      <c r="BGF422" s="274"/>
      <c r="BGG422" s="274"/>
      <c r="BGH422" s="274"/>
      <c r="BGI422" s="274"/>
      <c r="BGJ422" s="274"/>
      <c r="BGK422" s="274"/>
      <c r="BGL422" s="274"/>
      <c r="BGM422" s="274"/>
      <c r="BGN422" s="274"/>
      <c r="BGO422" s="274"/>
      <c r="BGP422" s="274"/>
      <c r="BGQ422" s="274"/>
      <c r="BGR422" s="274"/>
      <c r="BGS422" s="274"/>
      <c r="BGT422" s="274"/>
      <c r="BGU422" s="274"/>
      <c r="BGV422" s="274"/>
      <c r="BGW422" s="274"/>
      <c r="BGX422" s="274"/>
      <c r="BGY422" s="274"/>
      <c r="BGZ422" s="274"/>
      <c r="BHA422" s="274"/>
      <c r="BHB422" s="274"/>
      <c r="BHC422" s="274"/>
      <c r="BHD422" s="274"/>
      <c r="BHE422" s="274"/>
      <c r="BHF422" s="274"/>
      <c r="BHG422" s="274"/>
      <c r="BHH422" s="274"/>
      <c r="BHI422" s="274"/>
      <c r="BHJ422" s="274"/>
      <c r="BHK422" s="274"/>
      <c r="BHL422" s="274"/>
      <c r="BHM422" s="274"/>
      <c r="BHN422" s="274"/>
      <c r="BHO422" s="274"/>
      <c r="BHP422" s="274"/>
      <c r="BHQ422" s="274"/>
      <c r="BHR422" s="274"/>
      <c r="BHS422" s="274"/>
      <c r="BHT422" s="274"/>
      <c r="BHU422" s="274"/>
      <c r="BHV422" s="274"/>
      <c r="BHW422" s="274"/>
      <c r="BHX422" s="274"/>
      <c r="BHY422" s="274"/>
      <c r="BHZ422" s="274"/>
      <c r="BIA422" s="274"/>
      <c r="BIB422" s="274"/>
      <c r="BIC422" s="274"/>
      <c r="BID422" s="274"/>
      <c r="BIE422" s="274"/>
      <c r="BIF422" s="274"/>
      <c r="BIG422" s="274"/>
      <c r="BIH422" s="274"/>
      <c r="BII422" s="274"/>
      <c r="BIJ422" s="274"/>
      <c r="BIK422" s="274"/>
      <c r="BIL422" s="274"/>
      <c r="BIM422" s="274"/>
      <c r="BIN422" s="274"/>
      <c r="BIO422" s="274"/>
      <c r="BIP422" s="274"/>
      <c r="BIQ422" s="274"/>
      <c r="BIR422" s="274"/>
      <c r="BIS422" s="274"/>
      <c r="BIT422" s="274"/>
      <c r="BIU422" s="274"/>
      <c r="BIV422" s="274"/>
      <c r="BIW422" s="274"/>
      <c r="BIX422" s="274"/>
      <c r="BIY422" s="274"/>
      <c r="BIZ422" s="274"/>
      <c r="BJA422" s="274"/>
      <c r="BJB422" s="274"/>
      <c r="BJC422" s="274"/>
      <c r="BJD422" s="274"/>
      <c r="BJE422" s="274"/>
      <c r="BJF422" s="274"/>
      <c r="BJG422" s="274"/>
      <c r="BJH422" s="274"/>
      <c r="BJI422" s="274"/>
      <c r="BJJ422" s="274"/>
      <c r="BJK422" s="274"/>
      <c r="BJL422" s="274"/>
      <c r="BJM422" s="274"/>
      <c r="BJN422" s="274"/>
      <c r="BJO422" s="274"/>
      <c r="BJP422" s="274"/>
      <c r="BJQ422" s="274"/>
      <c r="BJR422" s="274"/>
      <c r="BJS422" s="274"/>
      <c r="BJT422" s="274"/>
      <c r="BJU422" s="274"/>
      <c r="BJV422" s="274"/>
      <c r="BJW422" s="274"/>
      <c r="BJX422" s="274"/>
      <c r="BJY422" s="274"/>
      <c r="BJZ422" s="274"/>
      <c r="BKA422" s="274"/>
      <c r="BKB422" s="274"/>
      <c r="BKC422" s="274"/>
      <c r="BKD422" s="274"/>
      <c r="BKE422" s="274"/>
      <c r="BKF422" s="274"/>
      <c r="BKG422" s="274"/>
      <c r="BKH422" s="274"/>
      <c r="BKI422" s="274"/>
      <c r="BKJ422" s="274"/>
      <c r="BKK422" s="274"/>
      <c r="BKL422" s="274"/>
      <c r="BKM422" s="274"/>
      <c r="BKN422" s="274"/>
      <c r="BKO422" s="274"/>
      <c r="BKP422" s="274"/>
      <c r="BKQ422" s="274"/>
      <c r="BKR422" s="274"/>
      <c r="BKS422" s="274"/>
      <c r="BKT422" s="274"/>
      <c r="BKU422" s="274"/>
      <c r="BKV422" s="274"/>
      <c r="BKW422" s="274"/>
      <c r="BKX422" s="274"/>
      <c r="BKY422" s="274"/>
      <c r="BKZ422" s="274"/>
      <c r="BLA422" s="274"/>
      <c r="BLB422" s="274"/>
      <c r="BLC422" s="274"/>
      <c r="BLD422" s="274"/>
      <c r="BLE422" s="274"/>
      <c r="BLF422" s="274"/>
      <c r="BLG422" s="274"/>
      <c r="BLH422" s="274"/>
      <c r="BLI422" s="274"/>
      <c r="BLJ422" s="274"/>
      <c r="BLK422" s="274"/>
      <c r="BLL422" s="274"/>
      <c r="BLM422" s="274"/>
      <c r="BLN422" s="274"/>
      <c r="BLO422" s="274"/>
      <c r="BLP422" s="274"/>
      <c r="BLQ422" s="274"/>
      <c r="BLR422" s="274"/>
      <c r="BLS422" s="274"/>
      <c r="BLT422" s="274"/>
      <c r="BLU422" s="274"/>
      <c r="BLV422" s="274"/>
      <c r="BLW422" s="274"/>
      <c r="BLX422" s="274"/>
      <c r="BLY422" s="274"/>
      <c r="BLZ422" s="274"/>
      <c r="BMA422" s="274"/>
      <c r="BMB422" s="274"/>
      <c r="BMC422" s="274"/>
      <c r="BMD422" s="274"/>
      <c r="BME422" s="274"/>
      <c r="BMF422" s="274"/>
      <c r="BMG422" s="274"/>
      <c r="BMH422" s="274"/>
      <c r="BMI422" s="274"/>
      <c r="BMJ422" s="274"/>
      <c r="BMK422" s="274"/>
      <c r="BML422" s="274"/>
      <c r="BMM422" s="274"/>
      <c r="BMN422" s="274"/>
      <c r="BMO422" s="274"/>
      <c r="BMP422" s="274"/>
      <c r="BMQ422" s="274"/>
      <c r="BMR422" s="274"/>
      <c r="BMS422" s="274"/>
      <c r="BMT422" s="274"/>
      <c r="BMU422" s="274"/>
      <c r="BMV422" s="274"/>
      <c r="BMW422" s="274"/>
      <c r="BMX422" s="274"/>
      <c r="BMY422" s="274"/>
      <c r="BMZ422" s="274"/>
      <c r="BNA422" s="274"/>
      <c r="BNB422" s="274"/>
      <c r="BNC422" s="274"/>
      <c r="BND422" s="274"/>
      <c r="BNE422" s="274"/>
      <c r="BNF422" s="274"/>
      <c r="BNG422" s="274"/>
      <c r="BNH422" s="274"/>
      <c r="BNI422" s="274"/>
      <c r="BNJ422" s="274"/>
      <c r="BNK422" s="274"/>
      <c r="BNL422" s="274"/>
      <c r="BNM422" s="274"/>
      <c r="BNN422" s="274"/>
      <c r="BNO422" s="274"/>
      <c r="BNP422" s="274"/>
      <c r="BNQ422" s="274"/>
      <c r="BNR422" s="274"/>
      <c r="BNS422" s="274"/>
      <c r="BNT422" s="274"/>
      <c r="BNU422" s="274"/>
      <c r="BNV422" s="274"/>
      <c r="BNW422" s="274"/>
      <c r="BNX422" s="274"/>
      <c r="BNY422" s="274"/>
      <c r="BNZ422" s="274"/>
      <c r="BOA422" s="274"/>
      <c r="BOB422" s="274"/>
      <c r="BOC422" s="274"/>
      <c r="BOD422" s="274"/>
      <c r="BOE422" s="274"/>
      <c r="BOF422" s="274"/>
      <c r="BOG422" s="274"/>
      <c r="BOH422" s="274"/>
      <c r="BOI422" s="274"/>
      <c r="BOJ422" s="274"/>
      <c r="BOK422" s="274"/>
      <c r="BOL422" s="274"/>
      <c r="BOM422" s="274"/>
      <c r="BON422" s="274"/>
      <c r="BOO422" s="274"/>
      <c r="BOP422" s="274"/>
      <c r="BOQ422" s="274"/>
      <c r="BOR422" s="274"/>
      <c r="BOS422" s="274"/>
      <c r="BOT422" s="274"/>
      <c r="BOU422" s="274"/>
      <c r="BOV422" s="274"/>
      <c r="BOW422" s="274"/>
      <c r="BOX422" s="274"/>
      <c r="BOY422" s="274"/>
      <c r="BOZ422" s="274"/>
      <c r="BPA422" s="274"/>
      <c r="BPB422" s="274"/>
      <c r="BPC422" s="274"/>
      <c r="BPD422" s="274"/>
      <c r="BPE422" s="274"/>
      <c r="BPF422" s="274"/>
      <c r="BPG422" s="274"/>
      <c r="BPH422" s="274"/>
      <c r="BPI422" s="274"/>
      <c r="BPJ422" s="274"/>
      <c r="BPK422" s="274"/>
      <c r="BPL422" s="274"/>
      <c r="BPM422" s="274"/>
      <c r="BPN422" s="274"/>
      <c r="BPO422" s="274"/>
      <c r="BPP422" s="274"/>
      <c r="BPQ422" s="274"/>
      <c r="BPR422" s="274"/>
      <c r="BPS422" s="274"/>
      <c r="BPT422" s="274"/>
      <c r="BPU422" s="274"/>
      <c r="BPV422" s="274"/>
      <c r="BPW422" s="274"/>
      <c r="BPX422" s="274"/>
      <c r="BPY422" s="274"/>
      <c r="BPZ422" s="274"/>
      <c r="BQA422" s="274"/>
      <c r="BQB422" s="274"/>
      <c r="BQC422" s="274"/>
      <c r="BQD422" s="274"/>
      <c r="BQE422" s="274"/>
      <c r="BQF422" s="274"/>
      <c r="BQG422" s="274"/>
      <c r="BQH422" s="274"/>
      <c r="BQI422" s="274"/>
      <c r="BQJ422" s="274"/>
      <c r="BQK422" s="274"/>
      <c r="BQL422" s="274"/>
      <c r="BQM422" s="274"/>
      <c r="BQN422" s="274"/>
      <c r="BQO422" s="274"/>
      <c r="BQP422" s="274"/>
      <c r="BQQ422" s="274"/>
      <c r="BQR422" s="274"/>
      <c r="BQS422" s="274"/>
      <c r="BQT422" s="274"/>
      <c r="BQU422" s="274"/>
      <c r="BQV422" s="274"/>
      <c r="BQW422" s="274"/>
      <c r="BQX422" s="274"/>
      <c r="BQY422" s="274"/>
      <c r="BQZ422" s="274"/>
      <c r="BRA422" s="274"/>
      <c r="BRB422" s="274"/>
      <c r="BRC422" s="274"/>
      <c r="BRD422" s="274"/>
      <c r="BRE422" s="274"/>
      <c r="BRF422" s="274"/>
      <c r="BRG422" s="274"/>
      <c r="BRH422" s="274"/>
      <c r="BRI422" s="274"/>
      <c r="BRJ422" s="274"/>
      <c r="BRK422" s="274"/>
      <c r="BRL422" s="274"/>
      <c r="BRM422" s="274"/>
      <c r="BRN422" s="274"/>
      <c r="BRO422" s="274"/>
      <c r="BRP422" s="274"/>
      <c r="BRQ422" s="274"/>
      <c r="BRR422" s="274"/>
      <c r="BRS422" s="274"/>
      <c r="BRT422" s="274"/>
      <c r="BRU422" s="274"/>
      <c r="BRV422" s="274"/>
      <c r="BRW422" s="274"/>
      <c r="BRX422" s="274"/>
      <c r="BRY422" s="274"/>
      <c r="BRZ422" s="274"/>
      <c r="BSA422" s="274"/>
      <c r="BSB422" s="274"/>
      <c r="BSC422" s="274"/>
      <c r="BSD422" s="274"/>
      <c r="BSE422" s="274"/>
      <c r="BSF422" s="274"/>
      <c r="BSG422" s="274"/>
      <c r="BSH422" s="274"/>
      <c r="BSI422" s="274"/>
      <c r="BSJ422" s="274"/>
      <c r="BSK422" s="274"/>
      <c r="BSL422" s="274"/>
      <c r="BSM422" s="274"/>
      <c r="BSN422" s="274"/>
      <c r="BSO422" s="274"/>
      <c r="BSP422" s="274"/>
      <c r="BSQ422" s="274"/>
      <c r="BSR422" s="274"/>
      <c r="BSS422" s="274"/>
      <c r="BST422" s="274"/>
      <c r="BSU422" s="274"/>
      <c r="BSV422" s="274"/>
      <c r="BSW422" s="274"/>
      <c r="BSX422" s="274"/>
      <c r="BSY422" s="274"/>
      <c r="BSZ422" s="274"/>
      <c r="BTA422" s="274"/>
      <c r="BTB422" s="274"/>
      <c r="BTC422" s="274"/>
      <c r="BTD422" s="274"/>
      <c r="BTE422" s="274"/>
      <c r="BTF422" s="274"/>
      <c r="BTG422" s="274"/>
      <c r="BTH422" s="274"/>
      <c r="BTI422" s="274"/>
      <c r="BTJ422" s="274"/>
      <c r="BTK422" s="274"/>
      <c r="BTL422" s="274"/>
      <c r="BTM422" s="274"/>
      <c r="BTN422" s="274"/>
      <c r="BTO422" s="274"/>
      <c r="BTP422" s="274"/>
      <c r="BTQ422" s="274"/>
      <c r="BTR422" s="274"/>
      <c r="BTS422" s="274"/>
      <c r="BTT422" s="274"/>
      <c r="BTU422" s="274"/>
      <c r="BTV422" s="274"/>
      <c r="BTW422" s="274"/>
      <c r="BTX422" s="274"/>
      <c r="BTY422" s="274"/>
      <c r="BTZ422" s="274"/>
      <c r="BUA422" s="274"/>
      <c r="BUB422" s="274"/>
      <c r="BUC422" s="274"/>
      <c r="BUD422" s="274"/>
      <c r="BUE422" s="274"/>
      <c r="BUF422" s="274"/>
      <c r="BUG422" s="274"/>
      <c r="BUH422" s="274"/>
      <c r="BUI422" s="274"/>
      <c r="BUJ422" s="274"/>
      <c r="BUK422" s="274"/>
      <c r="BUL422" s="274"/>
      <c r="BUM422" s="274"/>
      <c r="BUN422" s="274"/>
      <c r="BUO422" s="274"/>
      <c r="BUP422" s="274"/>
      <c r="BUQ422" s="274"/>
      <c r="BUR422" s="274"/>
      <c r="BUS422" s="274"/>
      <c r="BUT422" s="274"/>
      <c r="BUU422" s="274"/>
      <c r="BUV422" s="274"/>
      <c r="BUW422" s="274"/>
      <c r="BUX422" s="274"/>
      <c r="BUY422" s="274"/>
      <c r="BUZ422" s="274"/>
      <c r="BVA422" s="274"/>
      <c r="BVB422" s="274"/>
      <c r="BVC422" s="274"/>
      <c r="BVD422" s="274"/>
      <c r="BVE422" s="274"/>
      <c r="BVF422" s="274"/>
      <c r="BVG422" s="274"/>
      <c r="BVH422" s="274"/>
      <c r="BVI422" s="274"/>
      <c r="BVJ422" s="274"/>
      <c r="BVK422" s="274"/>
      <c r="BVL422" s="274"/>
      <c r="BVM422" s="274"/>
      <c r="BVN422" s="274"/>
      <c r="BVO422" s="274"/>
      <c r="BVP422" s="274"/>
      <c r="BVQ422" s="274"/>
      <c r="BVR422" s="274"/>
      <c r="BVS422" s="274"/>
      <c r="BVT422" s="274"/>
      <c r="BVU422" s="274"/>
      <c r="BVV422" s="274"/>
      <c r="BVW422" s="274"/>
      <c r="BVX422" s="274"/>
      <c r="BVY422" s="274"/>
      <c r="BVZ422" s="274"/>
      <c r="BWA422" s="274"/>
      <c r="BWB422" s="274"/>
      <c r="BWC422" s="274"/>
      <c r="BWD422" s="274"/>
      <c r="BWE422" s="274"/>
      <c r="BWF422" s="274"/>
      <c r="BWG422" s="274"/>
      <c r="BWH422" s="274"/>
      <c r="BWI422" s="274"/>
      <c r="BWJ422" s="274"/>
      <c r="BWK422" s="274"/>
      <c r="BWL422" s="274"/>
      <c r="BWM422" s="274"/>
      <c r="BWN422" s="274"/>
      <c r="BWO422" s="274"/>
      <c r="BWP422" s="274"/>
      <c r="BWQ422" s="274"/>
      <c r="BWR422" s="274"/>
      <c r="BWS422" s="274"/>
      <c r="BWT422" s="274"/>
      <c r="BWU422" s="274"/>
      <c r="BWV422" s="274"/>
      <c r="BWW422" s="274"/>
      <c r="BWX422" s="274"/>
      <c r="BWY422" s="274"/>
      <c r="BWZ422" s="274"/>
      <c r="BXA422" s="274"/>
      <c r="BXB422" s="274"/>
      <c r="BXC422" s="274"/>
      <c r="BXD422" s="274"/>
      <c r="BXE422" s="274"/>
      <c r="BXF422" s="274"/>
      <c r="BXG422" s="274"/>
      <c r="BXH422" s="274"/>
      <c r="BXI422" s="274"/>
      <c r="BXJ422" s="274"/>
      <c r="BXK422" s="274"/>
      <c r="BXL422" s="274"/>
      <c r="BXM422" s="274"/>
      <c r="BXN422" s="274"/>
      <c r="BXO422" s="274"/>
      <c r="BXP422" s="274"/>
      <c r="BXQ422" s="274"/>
      <c r="BXR422" s="274"/>
      <c r="BXS422" s="274"/>
      <c r="BXT422" s="274"/>
      <c r="BXU422" s="274"/>
      <c r="BXV422" s="274"/>
      <c r="BXW422" s="274"/>
      <c r="BXX422" s="274"/>
      <c r="BXY422" s="274"/>
      <c r="BXZ422" s="274"/>
      <c r="BYA422" s="274"/>
      <c r="BYB422" s="274"/>
      <c r="BYC422" s="274"/>
      <c r="BYD422" s="274"/>
      <c r="BYE422" s="274"/>
      <c r="BYF422" s="274"/>
      <c r="BYG422" s="274"/>
      <c r="BYH422" s="274"/>
      <c r="BYI422" s="274"/>
      <c r="BYJ422" s="274"/>
      <c r="BYK422" s="274"/>
      <c r="BYL422" s="274"/>
      <c r="BYM422" s="274"/>
      <c r="BYN422" s="274"/>
      <c r="BYO422" s="274"/>
      <c r="BYP422" s="274"/>
      <c r="BYQ422" s="274"/>
      <c r="BYR422" s="274"/>
      <c r="BYS422" s="274"/>
      <c r="BYT422" s="274"/>
      <c r="BYU422" s="274"/>
      <c r="BYV422" s="274"/>
      <c r="BYW422" s="274"/>
      <c r="BYX422" s="274"/>
      <c r="BYY422" s="274"/>
      <c r="BYZ422" s="274"/>
      <c r="BZA422" s="274"/>
      <c r="BZB422" s="274"/>
      <c r="BZC422" s="274"/>
      <c r="BZD422" s="274"/>
      <c r="BZE422" s="274"/>
      <c r="BZF422" s="274"/>
      <c r="BZG422" s="274"/>
      <c r="BZH422" s="274"/>
      <c r="BZI422" s="274"/>
      <c r="BZJ422" s="274"/>
      <c r="BZK422" s="274"/>
      <c r="BZL422" s="274"/>
      <c r="BZM422" s="274"/>
      <c r="BZN422" s="274"/>
      <c r="BZO422" s="274"/>
      <c r="BZP422" s="274"/>
      <c r="BZQ422" s="274"/>
      <c r="BZR422" s="274"/>
      <c r="BZS422" s="274"/>
      <c r="BZT422" s="274"/>
      <c r="BZU422" s="274"/>
      <c r="BZV422" s="274"/>
      <c r="BZW422" s="274"/>
      <c r="BZX422" s="274"/>
      <c r="BZY422" s="274"/>
      <c r="BZZ422" s="274"/>
      <c r="CAA422" s="274"/>
      <c r="CAB422" s="274"/>
      <c r="CAC422" s="274"/>
      <c r="CAD422" s="274"/>
      <c r="CAE422" s="274"/>
      <c r="CAF422" s="274"/>
      <c r="CAG422" s="274"/>
      <c r="CAH422" s="274"/>
      <c r="CAI422" s="274"/>
      <c r="CAJ422" s="274"/>
      <c r="CAK422" s="274"/>
      <c r="CAL422" s="274"/>
      <c r="CAM422" s="274"/>
      <c r="CAN422" s="274"/>
      <c r="CAO422" s="274"/>
      <c r="CAP422" s="274"/>
      <c r="CAQ422" s="274"/>
      <c r="CAR422" s="274"/>
      <c r="CAS422" s="274"/>
      <c r="CAT422" s="274"/>
      <c r="CAU422" s="274"/>
      <c r="CAV422" s="274"/>
      <c r="CAW422" s="274"/>
      <c r="CAX422" s="274"/>
      <c r="CAY422" s="274"/>
      <c r="CAZ422" s="274"/>
      <c r="CBA422" s="274"/>
      <c r="CBB422" s="274"/>
      <c r="CBC422" s="274"/>
      <c r="CBD422" s="274"/>
      <c r="CBE422" s="274"/>
      <c r="CBF422" s="274"/>
      <c r="CBG422" s="274"/>
      <c r="CBH422" s="274"/>
      <c r="CBI422" s="274"/>
      <c r="CBJ422" s="274"/>
      <c r="CBK422" s="274"/>
      <c r="CBL422" s="274"/>
      <c r="CBM422" s="274"/>
      <c r="CBN422" s="274"/>
      <c r="CBO422" s="274"/>
      <c r="CBP422" s="274"/>
      <c r="CBQ422" s="274"/>
      <c r="CBR422" s="274"/>
      <c r="CBS422" s="274"/>
      <c r="CBT422" s="274"/>
      <c r="CBU422" s="274"/>
      <c r="CBV422" s="274"/>
      <c r="CBW422" s="274"/>
      <c r="CBX422" s="274"/>
      <c r="CBY422" s="274"/>
      <c r="CBZ422" s="274"/>
      <c r="CCA422" s="274"/>
      <c r="CCB422" s="274"/>
      <c r="CCC422" s="274"/>
      <c r="CCD422" s="274"/>
      <c r="CCE422" s="274"/>
      <c r="CCF422" s="274"/>
      <c r="CCG422" s="274"/>
      <c r="CCH422" s="274"/>
      <c r="CCI422" s="274"/>
      <c r="CCJ422" s="274"/>
      <c r="CCK422" s="274"/>
      <c r="CCL422" s="274"/>
      <c r="CCM422" s="274"/>
      <c r="CCN422" s="274"/>
      <c r="CCO422" s="274"/>
      <c r="CCP422" s="274"/>
      <c r="CCQ422" s="274"/>
      <c r="CCR422" s="274"/>
      <c r="CCS422" s="274"/>
      <c r="CCT422" s="274"/>
      <c r="CCU422" s="274"/>
      <c r="CCV422" s="274"/>
      <c r="CCW422" s="274"/>
      <c r="CCX422" s="274"/>
      <c r="CCY422" s="274"/>
      <c r="CCZ422" s="274"/>
      <c r="CDA422" s="274"/>
      <c r="CDB422" s="274"/>
      <c r="CDC422" s="274"/>
      <c r="CDD422" s="274"/>
      <c r="CDE422" s="274"/>
      <c r="CDF422" s="274"/>
      <c r="CDG422" s="274"/>
      <c r="CDH422" s="274"/>
      <c r="CDI422" s="274"/>
      <c r="CDJ422" s="274"/>
      <c r="CDK422" s="274"/>
      <c r="CDL422" s="274"/>
      <c r="CDM422" s="274"/>
      <c r="CDN422" s="274"/>
      <c r="CDO422" s="274"/>
      <c r="CDP422" s="274"/>
      <c r="CDQ422" s="274"/>
      <c r="CDR422" s="274"/>
      <c r="CDS422" s="274"/>
      <c r="CDT422" s="274"/>
      <c r="CDU422" s="274"/>
      <c r="CDV422" s="274"/>
      <c r="CDW422" s="274"/>
      <c r="CDX422" s="274"/>
      <c r="CDY422" s="274"/>
      <c r="CDZ422" s="274"/>
      <c r="CEA422" s="274"/>
      <c r="CEB422" s="274"/>
      <c r="CEC422" s="274"/>
      <c r="CED422" s="274"/>
      <c r="CEE422" s="274"/>
      <c r="CEF422" s="274"/>
      <c r="CEG422" s="274"/>
      <c r="CEH422" s="274"/>
      <c r="CEI422" s="274"/>
      <c r="CEJ422" s="274"/>
      <c r="CEK422" s="274"/>
      <c r="CEL422" s="274"/>
      <c r="CEM422" s="274"/>
      <c r="CEN422" s="274"/>
      <c r="CEO422" s="274"/>
      <c r="CEP422" s="274"/>
      <c r="CEQ422" s="274"/>
      <c r="CER422" s="274"/>
      <c r="CES422" s="274"/>
      <c r="CET422" s="274"/>
      <c r="CEU422" s="274"/>
      <c r="CEV422" s="274"/>
      <c r="CEW422" s="274"/>
      <c r="CEX422" s="274"/>
      <c r="CEY422" s="274"/>
      <c r="CEZ422" s="274"/>
      <c r="CFA422" s="274"/>
      <c r="CFB422" s="274"/>
      <c r="CFC422" s="274"/>
      <c r="CFD422" s="274"/>
      <c r="CFE422" s="274"/>
      <c r="CFF422" s="274"/>
      <c r="CFG422" s="274"/>
      <c r="CFH422" s="274"/>
      <c r="CFI422" s="274"/>
      <c r="CFJ422" s="274"/>
      <c r="CFK422" s="274"/>
      <c r="CFL422" s="274"/>
      <c r="CFM422" s="274"/>
      <c r="CFN422" s="274"/>
      <c r="CFO422" s="274"/>
      <c r="CFP422" s="274"/>
      <c r="CFQ422" s="274"/>
      <c r="CFR422" s="274"/>
      <c r="CFS422" s="274"/>
      <c r="CFT422" s="274"/>
      <c r="CFU422" s="274"/>
      <c r="CFV422" s="274"/>
      <c r="CFW422" s="274"/>
      <c r="CFX422" s="274"/>
      <c r="CFY422" s="274"/>
      <c r="CFZ422" s="274"/>
      <c r="CGA422" s="274"/>
      <c r="CGB422" s="274"/>
      <c r="CGC422" s="274"/>
      <c r="CGD422" s="274"/>
      <c r="CGE422" s="274"/>
      <c r="CGF422" s="274"/>
      <c r="CGG422" s="274"/>
      <c r="CGH422" s="274"/>
      <c r="CGI422" s="274"/>
      <c r="CGJ422" s="274"/>
      <c r="CGK422" s="274"/>
      <c r="CGL422" s="274"/>
      <c r="CGM422" s="274"/>
      <c r="CGN422" s="274"/>
      <c r="CGO422" s="274"/>
      <c r="CGP422" s="274"/>
      <c r="CGQ422" s="274"/>
      <c r="CGR422" s="274"/>
      <c r="CGS422" s="274"/>
      <c r="CGT422" s="274"/>
      <c r="CGU422" s="274"/>
      <c r="CGV422" s="274"/>
      <c r="CGW422" s="274"/>
      <c r="CGX422" s="274"/>
      <c r="CGY422" s="274"/>
      <c r="CGZ422" s="274"/>
      <c r="CHA422" s="274"/>
      <c r="CHB422" s="274"/>
      <c r="CHC422" s="274"/>
      <c r="CHD422" s="274"/>
      <c r="CHE422" s="274"/>
      <c r="CHF422" s="274"/>
      <c r="CHG422" s="274"/>
      <c r="CHH422" s="274"/>
      <c r="CHI422" s="274"/>
      <c r="CHJ422" s="274"/>
      <c r="CHK422" s="274"/>
      <c r="CHL422" s="274"/>
      <c r="CHM422" s="274"/>
      <c r="CHN422" s="274"/>
      <c r="CHO422" s="274"/>
      <c r="CHP422" s="274"/>
      <c r="CHQ422" s="274"/>
      <c r="CHR422" s="274"/>
      <c r="CHS422" s="274"/>
      <c r="CHT422" s="274"/>
      <c r="CHU422" s="274"/>
      <c r="CHV422" s="274"/>
      <c r="CHW422" s="274"/>
      <c r="CHX422" s="274"/>
      <c r="CHY422" s="274"/>
      <c r="CHZ422" s="274"/>
      <c r="CIA422" s="274"/>
      <c r="CIB422" s="274"/>
      <c r="CIC422" s="274"/>
      <c r="CID422" s="274"/>
      <c r="CIE422" s="274"/>
      <c r="CIF422" s="274"/>
      <c r="CIG422" s="274"/>
      <c r="CIH422" s="274"/>
      <c r="CII422" s="274"/>
      <c r="CIJ422" s="274"/>
      <c r="CIK422" s="274"/>
      <c r="CIL422" s="274"/>
      <c r="CIM422" s="274"/>
      <c r="CIN422" s="274"/>
      <c r="CIO422" s="274"/>
      <c r="CIP422" s="274"/>
      <c r="CIQ422" s="274"/>
      <c r="CIR422" s="274"/>
      <c r="CIS422" s="274"/>
      <c r="CIT422" s="274"/>
      <c r="CIU422" s="274"/>
      <c r="CIV422" s="274"/>
      <c r="CIW422" s="274"/>
      <c r="CIX422" s="274"/>
      <c r="CIY422" s="274"/>
      <c r="CIZ422" s="274"/>
      <c r="CJA422" s="274"/>
      <c r="CJB422" s="274"/>
      <c r="CJC422" s="274"/>
      <c r="CJD422" s="274"/>
      <c r="CJE422" s="274"/>
      <c r="CJF422" s="274"/>
      <c r="CJG422" s="274"/>
      <c r="CJH422" s="274"/>
      <c r="CJI422" s="274"/>
      <c r="CJJ422" s="274"/>
      <c r="CJK422" s="274"/>
      <c r="CJL422" s="274"/>
      <c r="CJM422" s="274"/>
      <c r="CJN422" s="274"/>
      <c r="CJO422" s="274"/>
      <c r="CJP422" s="274"/>
      <c r="CJQ422" s="274"/>
      <c r="CJR422" s="274"/>
      <c r="CJS422" s="274"/>
      <c r="CJT422" s="274"/>
      <c r="CJU422" s="274"/>
      <c r="CJV422" s="274"/>
      <c r="CJW422" s="274"/>
      <c r="CJX422" s="274"/>
      <c r="CJY422" s="274"/>
      <c r="CJZ422" s="274"/>
      <c r="CKA422" s="274"/>
      <c r="CKB422" s="274"/>
      <c r="CKC422" s="274"/>
      <c r="CKD422" s="274"/>
      <c r="CKE422" s="274"/>
      <c r="CKF422" s="274"/>
      <c r="CKG422" s="274"/>
      <c r="CKH422" s="274"/>
      <c r="CKI422" s="274"/>
      <c r="CKJ422" s="274"/>
      <c r="CKK422" s="274"/>
      <c r="CKL422" s="274"/>
      <c r="CKM422" s="274"/>
      <c r="CKN422" s="274"/>
      <c r="CKO422" s="274"/>
      <c r="CKP422" s="274"/>
      <c r="CKQ422" s="274"/>
      <c r="CKR422" s="274"/>
      <c r="CKS422" s="274"/>
      <c r="CKT422" s="274"/>
      <c r="CKU422" s="274"/>
      <c r="CKV422" s="274"/>
      <c r="CKW422" s="274"/>
      <c r="CKX422" s="274"/>
      <c r="CKY422" s="274"/>
      <c r="CKZ422" s="274"/>
      <c r="CLA422" s="274"/>
      <c r="CLB422" s="274"/>
      <c r="CLC422" s="274"/>
      <c r="CLD422" s="274"/>
      <c r="CLE422" s="274"/>
      <c r="CLF422" s="274"/>
      <c r="CLG422" s="274"/>
      <c r="CLH422" s="274"/>
      <c r="CLI422" s="274"/>
      <c r="CLJ422" s="274"/>
      <c r="CLK422" s="274"/>
      <c r="CLL422" s="274"/>
      <c r="CLM422" s="274"/>
      <c r="CLN422" s="274"/>
      <c r="CLO422" s="274"/>
      <c r="CLP422" s="274"/>
      <c r="CLQ422" s="274"/>
      <c r="CLR422" s="274"/>
      <c r="CLS422" s="274"/>
      <c r="CLT422" s="274"/>
      <c r="CLU422" s="274"/>
      <c r="CLV422" s="274"/>
      <c r="CLW422" s="274"/>
      <c r="CLX422" s="274"/>
      <c r="CLY422" s="274"/>
      <c r="CLZ422" s="274"/>
      <c r="CMA422" s="274"/>
      <c r="CMB422" s="274"/>
      <c r="CMC422" s="274"/>
      <c r="CMD422" s="274"/>
      <c r="CME422" s="274"/>
      <c r="CMF422" s="274"/>
      <c r="CMG422" s="274"/>
      <c r="CMH422" s="274"/>
      <c r="CMI422" s="274"/>
      <c r="CMJ422" s="274"/>
      <c r="CMK422" s="274"/>
      <c r="CML422" s="274"/>
      <c r="CMM422" s="274"/>
      <c r="CMN422" s="274"/>
      <c r="CMO422" s="274"/>
      <c r="CMP422" s="274"/>
      <c r="CMQ422" s="274"/>
      <c r="CMR422" s="274"/>
      <c r="CMS422" s="274"/>
      <c r="CMT422" s="274"/>
      <c r="CMU422" s="274"/>
      <c r="CMV422" s="274"/>
      <c r="CMW422" s="274"/>
      <c r="CMX422" s="274"/>
      <c r="CMY422" s="274"/>
      <c r="CMZ422" s="274"/>
      <c r="CNA422" s="274"/>
      <c r="CNB422" s="274"/>
      <c r="CNC422" s="274"/>
      <c r="CND422" s="274"/>
      <c r="CNE422" s="274"/>
      <c r="CNF422" s="274"/>
      <c r="CNG422" s="274"/>
      <c r="CNH422" s="274"/>
      <c r="CNI422" s="274"/>
      <c r="CNJ422" s="274"/>
      <c r="CNK422" s="274"/>
      <c r="CNL422" s="274"/>
      <c r="CNM422" s="274"/>
      <c r="CNN422" s="274"/>
      <c r="CNO422" s="274"/>
      <c r="CNP422" s="274"/>
      <c r="CNQ422" s="274"/>
      <c r="CNR422" s="274"/>
      <c r="CNS422" s="274"/>
      <c r="CNT422" s="274"/>
      <c r="CNU422" s="274"/>
      <c r="CNV422" s="274"/>
      <c r="CNW422" s="274"/>
      <c r="CNX422" s="274"/>
      <c r="CNY422" s="274"/>
      <c r="CNZ422" s="274"/>
      <c r="COA422" s="274"/>
      <c r="COB422" s="274"/>
      <c r="COC422" s="274"/>
      <c r="COD422" s="274"/>
      <c r="COE422" s="274"/>
      <c r="COF422" s="274"/>
      <c r="COG422" s="274"/>
      <c r="COH422" s="274"/>
      <c r="COI422" s="274"/>
      <c r="COJ422" s="274"/>
      <c r="COK422" s="274"/>
      <c r="COL422" s="274"/>
      <c r="COM422" s="274"/>
      <c r="CON422" s="274"/>
      <c r="COO422" s="274"/>
      <c r="COP422" s="274"/>
      <c r="COQ422" s="274"/>
      <c r="COR422" s="274"/>
      <c r="COS422" s="274"/>
      <c r="COT422" s="274"/>
      <c r="COU422" s="274"/>
      <c r="COV422" s="274"/>
      <c r="COW422" s="274"/>
      <c r="COX422" s="274"/>
      <c r="COY422" s="274"/>
      <c r="COZ422" s="274"/>
      <c r="CPA422" s="274"/>
      <c r="CPB422" s="274"/>
      <c r="CPC422" s="274"/>
      <c r="CPD422" s="274"/>
      <c r="CPE422" s="274"/>
      <c r="CPF422" s="274"/>
      <c r="CPG422" s="274"/>
      <c r="CPH422" s="274"/>
      <c r="CPI422" s="274"/>
      <c r="CPJ422" s="274"/>
      <c r="CPK422" s="274"/>
      <c r="CPL422" s="274"/>
      <c r="CPM422" s="274"/>
      <c r="CPN422" s="274"/>
      <c r="CPO422" s="274"/>
      <c r="CPP422" s="274"/>
      <c r="CPQ422" s="274"/>
      <c r="CPR422" s="274"/>
      <c r="CPS422" s="274"/>
      <c r="CPT422" s="274"/>
      <c r="CPU422" s="274"/>
      <c r="CPV422" s="274"/>
      <c r="CPW422" s="274"/>
      <c r="CPX422" s="274"/>
      <c r="CPY422" s="274"/>
      <c r="CPZ422" s="274"/>
      <c r="CQA422" s="274"/>
      <c r="CQB422" s="274"/>
      <c r="CQC422" s="274"/>
      <c r="CQD422" s="274"/>
      <c r="CQE422" s="274"/>
      <c r="CQF422" s="274"/>
      <c r="CQG422" s="274"/>
      <c r="CQH422" s="274"/>
      <c r="CQI422" s="274"/>
      <c r="CQJ422" s="274"/>
      <c r="CQK422" s="274"/>
      <c r="CQL422" s="274"/>
      <c r="CQM422" s="274"/>
      <c r="CQN422" s="274"/>
      <c r="CQO422" s="274"/>
      <c r="CQP422" s="274"/>
      <c r="CQQ422" s="274"/>
      <c r="CQR422" s="274"/>
      <c r="CQS422" s="274"/>
      <c r="CQT422" s="274"/>
      <c r="CQU422" s="274"/>
      <c r="CQV422" s="274"/>
      <c r="CQW422" s="274"/>
      <c r="CQX422" s="274"/>
      <c r="CQY422" s="274"/>
      <c r="CQZ422" s="274"/>
      <c r="CRA422" s="274"/>
      <c r="CRB422" s="274"/>
      <c r="CRC422" s="274"/>
      <c r="CRD422" s="274"/>
      <c r="CRE422" s="274"/>
      <c r="CRF422" s="274"/>
      <c r="CRG422" s="274"/>
      <c r="CRH422" s="274"/>
      <c r="CRI422" s="274"/>
      <c r="CRJ422" s="274"/>
      <c r="CRK422" s="274"/>
      <c r="CRL422" s="274"/>
      <c r="CRM422" s="274"/>
      <c r="CRN422" s="274"/>
      <c r="CRO422" s="274"/>
      <c r="CRP422" s="274"/>
      <c r="CRQ422" s="274"/>
      <c r="CRR422" s="274"/>
      <c r="CRS422" s="274"/>
      <c r="CRT422" s="274"/>
      <c r="CRU422" s="274"/>
      <c r="CRV422" s="274"/>
      <c r="CRW422" s="274"/>
      <c r="CRX422" s="274"/>
      <c r="CRY422" s="274"/>
      <c r="CRZ422" s="274"/>
      <c r="CSA422" s="274"/>
      <c r="CSB422" s="274"/>
      <c r="CSC422" s="274"/>
      <c r="CSD422" s="274"/>
      <c r="CSE422" s="274"/>
      <c r="CSF422" s="274"/>
      <c r="CSG422" s="274"/>
      <c r="CSH422" s="274"/>
      <c r="CSI422" s="274"/>
      <c r="CSJ422" s="274"/>
      <c r="CSK422" s="274"/>
      <c r="CSL422" s="274"/>
      <c r="CSM422" s="274"/>
      <c r="CSN422" s="274"/>
      <c r="CSO422" s="274"/>
      <c r="CSP422" s="274"/>
      <c r="CSQ422" s="274"/>
      <c r="CSR422" s="274"/>
      <c r="CSS422" s="274"/>
      <c r="CST422" s="274"/>
      <c r="CSU422" s="274"/>
      <c r="CSV422" s="274"/>
      <c r="CSW422" s="274"/>
      <c r="CSX422" s="274"/>
      <c r="CSY422" s="274"/>
      <c r="CSZ422" s="274"/>
      <c r="CTA422" s="274"/>
      <c r="CTB422" s="274"/>
      <c r="CTC422" s="274"/>
      <c r="CTD422" s="274"/>
      <c r="CTE422" s="274"/>
      <c r="CTF422" s="274"/>
      <c r="CTG422" s="274"/>
      <c r="CTH422" s="274"/>
      <c r="CTI422" s="274"/>
      <c r="CTJ422" s="274"/>
      <c r="CTK422" s="274"/>
      <c r="CTL422" s="274"/>
      <c r="CTM422" s="274"/>
      <c r="CTN422" s="274"/>
      <c r="CTO422" s="274"/>
      <c r="CTP422" s="274"/>
      <c r="CTQ422" s="274"/>
      <c r="CTR422" s="274"/>
      <c r="CTS422" s="274"/>
      <c r="CTT422" s="274"/>
      <c r="CTU422" s="274"/>
      <c r="CTV422" s="274"/>
      <c r="CTW422" s="274"/>
      <c r="CTX422" s="274"/>
      <c r="CTY422" s="274"/>
      <c r="CTZ422" s="274"/>
      <c r="CUA422" s="274"/>
      <c r="CUB422" s="274"/>
      <c r="CUC422" s="274"/>
      <c r="CUD422" s="274"/>
      <c r="CUE422" s="274"/>
      <c r="CUF422" s="274"/>
      <c r="CUG422" s="274"/>
      <c r="CUH422" s="274"/>
      <c r="CUI422" s="274"/>
      <c r="CUJ422" s="274"/>
      <c r="CUK422" s="274"/>
      <c r="CUL422" s="274"/>
      <c r="CUM422" s="274"/>
      <c r="CUN422" s="274"/>
      <c r="CUO422" s="274"/>
      <c r="CUP422" s="274"/>
      <c r="CUQ422" s="274"/>
      <c r="CUR422" s="274"/>
      <c r="CUS422" s="274"/>
      <c r="CUT422" s="274"/>
      <c r="CUU422" s="274"/>
      <c r="CUV422" s="274"/>
      <c r="CUW422" s="274"/>
      <c r="CUX422" s="274"/>
      <c r="CUY422" s="274"/>
      <c r="CUZ422" s="274"/>
      <c r="CVA422" s="274"/>
      <c r="CVB422" s="274"/>
      <c r="CVC422" s="274"/>
      <c r="CVD422" s="274"/>
      <c r="CVE422" s="274"/>
      <c r="CVF422" s="274"/>
      <c r="CVG422" s="274"/>
      <c r="CVH422" s="274"/>
      <c r="CVI422" s="274"/>
      <c r="CVJ422" s="274"/>
      <c r="CVK422" s="274"/>
      <c r="CVL422" s="274"/>
      <c r="CVM422" s="274"/>
      <c r="CVN422" s="274"/>
      <c r="CVO422" s="274"/>
      <c r="CVP422" s="274"/>
      <c r="CVQ422" s="274"/>
      <c r="CVR422" s="274"/>
      <c r="CVS422" s="274"/>
      <c r="CVT422" s="274"/>
      <c r="CVU422" s="274"/>
      <c r="CVV422" s="274"/>
      <c r="CVW422" s="274"/>
      <c r="CVX422" s="274"/>
      <c r="CVY422" s="274"/>
      <c r="CVZ422" s="274"/>
      <c r="CWA422" s="274"/>
      <c r="CWB422" s="274"/>
      <c r="CWC422" s="274"/>
      <c r="CWD422" s="274"/>
      <c r="CWE422" s="274"/>
      <c r="CWF422" s="274"/>
      <c r="CWG422" s="274"/>
      <c r="CWH422" s="274"/>
      <c r="CWI422" s="274"/>
      <c r="CWJ422" s="274"/>
      <c r="CWK422" s="274"/>
      <c r="CWL422" s="274"/>
      <c r="CWM422" s="274"/>
      <c r="CWN422" s="274"/>
      <c r="CWO422" s="274"/>
      <c r="CWP422" s="274"/>
      <c r="CWQ422" s="274"/>
      <c r="CWR422" s="274"/>
      <c r="CWS422" s="274"/>
      <c r="CWT422" s="274"/>
      <c r="CWU422" s="274"/>
      <c r="CWV422" s="274"/>
      <c r="CWW422" s="274"/>
      <c r="CWX422" s="274"/>
      <c r="CWY422" s="274"/>
      <c r="CWZ422" s="274"/>
      <c r="CXA422" s="274"/>
      <c r="CXB422" s="274"/>
      <c r="CXC422" s="274"/>
      <c r="CXD422" s="274"/>
      <c r="CXE422" s="274"/>
      <c r="CXF422" s="274"/>
      <c r="CXG422" s="274"/>
      <c r="CXH422" s="274"/>
      <c r="CXI422" s="274"/>
      <c r="CXJ422" s="274"/>
      <c r="CXK422" s="274"/>
      <c r="CXL422" s="274"/>
      <c r="CXM422" s="274"/>
      <c r="CXN422" s="274"/>
      <c r="CXO422" s="274"/>
      <c r="CXP422" s="274"/>
      <c r="CXQ422" s="274"/>
      <c r="CXR422" s="274"/>
      <c r="CXS422" s="274"/>
      <c r="CXT422" s="274"/>
      <c r="CXU422" s="274"/>
      <c r="CXV422" s="274"/>
      <c r="CXW422" s="274"/>
      <c r="CXX422" s="274"/>
      <c r="CXY422" s="274"/>
      <c r="CXZ422" s="274"/>
      <c r="CYA422" s="274"/>
      <c r="CYB422" s="274"/>
      <c r="CYC422" s="274"/>
      <c r="CYD422" s="274"/>
      <c r="CYE422" s="274"/>
      <c r="CYF422" s="274"/>
      <c r="CYG422" s="274"/>
      <c r="CYH422" s="274"/>
      <c r="CYI422" s="274"/>
      <c r="CYJ422" s="274"/>
      <c r="CYK422" s="274"/>
      <c r="CYL422" s="274"/>
      <c r="CYM422" s="274"/>
      <c r="CYN422" s="274"/>
      <c r="CYO422" s="274"/>
      <c r="CYP422" s="274"/>
      <c r="CYQ422" s="274"/>
      <c r="CYR422" s="274"/>
      <c r="CYS422" s="274"/>
      <c r="CYT422" s="274"/>
      <c r="CYU422" s="274"/>
      <c r="CYV422" s="274"/>
      <c r="CYW422" s="274"/>
      <c r="CYX422" s="274"/>
      <c r="CYY422" s="274"/>
      <c r="CYZ422" s="274"/>
      <c r="CZA422" s="274"/>
      <c r="CZB422" s="274"/>
      <c r="CZC422" s="274"/>
      <c r="CZD422" s="274"/>
      <c r="CZE422" s="274"/>
      <c r="CZF422" s="274"/>
      <c r="CZG422" s="274"/>
      <c r="CZH422" s="274"/>
      <c r="CZI422" s="274"/>
      <c r="CZJ422" s="274"/>
      <c r="CZK422" s="274"/>
      <c r="CZL422" s="274"/>
      <c r="CZM422" s="274"/>
      <c r="CZN422" s="274"/>
      <c r="CZO422" s="274"/>
      <c r="CZP422" s="274"/>
      <c r="CZQ422" s="274"/>
      <c r="CZR422" s="274"/>
      <c r="CZS422" s="274"/>
      <c r="CZT422" s="274"/>
      <c r="CZU422" s="274"/>
      <c r="CZV422" s="274"/>
      <c r="CZW422" s="274"/>
      <c r="CZX422" s="274"/>
      <c r="CZY422" s="274"/>
      <c r="CZZ422" s="274"/>
      <c r="DAA422" s="274"/>
      <c r="DAB422" s="274"/>
      <c r="DAC422" s="274"/>
      <c r="DAD422" s="274"/>
      <c r="DAE422" s="274"/>
      <c r="DAF422" s="274"/>
      <c r="DAG422" s="274"/>
      <c r="DAH422" s="274"/>
      <c r="DAI422" s="274"/>
      <c r="DAJ422" s="274"/>
      <c r="DAK422" s="274"/>
      <c r="DAL422" s="274"/>
      <c r="DAM422" s="274"/>
      <c r="DAN422" s="274"/>
      <c r="DAO422" s="274"/>
      <c r="DAP422" s="274"/>
      <c r="DAQ422" s="274"/>
      <c r="DAR422" s="274"/>
      <c r="DAS422" s="274"/>
      <c r="DAT422" s="274"/>
      <c r="DAU422" s="274"/>
      <c r="DAV422" s="274"/>
      <c r="DAW422" s="274"/>
      <c r="DAX422" s="274"/>
      <c r="DAY422" s="274"/>
      <c r="DAZ422" s="274"/>
      <c r="DBA422" s="274"/>
      <c r="DBB422" s="274"/>
      <c r="DBC422" s="274"/>
      <c r="DBD422" s="274"/>
      <c r="DBE422" s="274"/>
      <c r="DBF422" s="274"/>
      <c r="DBG422" s="274"/>
      <c r="DBH422" s="274"/>
      <c r="DBI422" s="274"/>
      <c r="DBJ422" s="274"/>
      <c r="DBK422" s="274"/>
      <c r="DBL422" s="274"/>
      <c r="DBM422" s="274"/>
      <c r="DBN422" s="274"/>
      <c r="DBO422" s="274"/>
      <c r="DBP422" s="274"/>
      <c r="DBQ422" s="274"/>
      <c r="DBR422" s="274"/>
      <c r="DBS422" s="274"/>
      <c r="DBT422" s="274"/>
      <c r="DBU422" s="274"/>
      <c r="DBV422" s="274"/>
      <c r="DBW422" s="274"/>
      <c r="DBX422" s="274"/>
      <c r="DBY422" s="274"/>
      <c r="DBZ422" s="274"/>
      <c r="DCA422" s="274"/>
      <c r="DCB422" s="274"/>
      <c r="DCC422" s="274"/>
      <c r="DCD422" s="274"/>
      <c r="DCE422" s="274"/>
      <c r="DCF422" s="274"/>
      <c r="DCG422" s="274"/>
      <c r="DCH422" s="274"/>
      <c r="DCI422" s="274"/>
      <c r="DCJ422" s="274"/>
      <c r="DCK422" s="274"/>
      <c r="DCL422" s="274"/>
      <c r="DCM422" s="274"/>
      <c r="DCN422" s="274"/>
      <c r="DCO422" s="274"/>
      <c r="DCP422" s="274"/>
      <c r="DCQ422" s="274"/>
      <c r="DCR422" s="274"/>
      <c r="DCS422" s="274"/>
      <c r="DCT422" s="274"/>
      <c r="DCU422" s="274"/>
      <c r="DCV422" s="274"/>
      <c r="DCW422" s="274"/>
      <c r="DCX422" s="274"/>
      <c r="DCY422" s="274"/>
      <c r="DCZ422" s="274"/>
      <c r="DDA422" s="274"/>
      <c r="DDB422" s="274"/>
      <c r="DDC422" s="274"/>
      <c r="DDD422" s="274"/>
      <c r="DDE422" s="274"/>
      <c r="DDF422" s="274"/>
      <c r="DDG422" s="274"/>
      <c r="DDH422" s="274"/>
      <c r="DDI422" s="274"/>
      <c r="DDJ422" s="274"/>
      <c r="DDK422" s="274"/>
      <c r="DDL422" s="274"/>
      <c r="DDM422" s="274"/>
      <c r="DDN422" s="274"/>
      <c r="DDO422" s="274"/>
      <c r="DDP422" s="274"/>
      <c r="DDQ422" s="274"/>
      <c r="DDR422" s="274"/>
      <c r="DDS422" s="274"/>
      <c r="DDT422" s="274"/>
      <c r="DDU422" s="274"/>
      <c r="DDV422" s="274"/>
      <c r="DDW422" s="274"/>
      <c r="DDX422" s="274"/>
      <c r="DDY422" s="274"/>
      <c r="DDZ422" s="274"/>
      <c r="DEA422" s="274"/>
      <c r="DEB422" s="274"/>
      <c r="DEC422" s="274"/>
      <c r="DED422" s="274"/>
      <c r="DEE422" s="274"/>
      <c r="DEF422" s="274"/>
      <c r="DEG422" s="274"/>
      <c r="DEH422" s="274"/>
      <c r="DEI422" s="274"/>
      <c r="DEJ422" s="274"/>
      <c r="DEK422" s="274"/>
      <c r="DEL422" s="274"/>
      <c r="DEM422" s="274"/>
      <c r="DEN422" s="274"/>
      <c r="DEO422" s="274"/>
      <c r="DEP422" s="274"/>
      <c r="DEQ422" s="274"/>
      <c r="DER422" s="274"/>
      <c r="DES422" s="274"/>
      <c r="DET422" s="274"/>
      <c r="DEU422" s="274"/>
      <c r="DEV422" s="274"/>
      <c r="DEW422" s="274"/>
      <c r="DEX422" s="274"/>
      <c r="DEY422" s="274"/>
      <c r="DEZ422" s="274"/>
      <c r="DFA422" s="274"/>
      <c r="DFB422" s="274"/>
      <c r="DFC422" s="274"/>
      <c r="DFD422" s="274"/>
      <c r="DFE422" s="274"/>
      <c r="DFF422" s="274"/>
      <c r="DFG422" s="274"/>
      <c r="DFH422" s="274"/>
      <c r="DFI422" s="274"/>
      <c r="DFJ422" s="274"/>
      <c r="DFK422" s="274"/>
      <c r="DFL422" s="274"/>
      <c r="DFM422" s="274"/>
      <c r="DFN422" s="274"/>
      <c r="DFO422" s="274"/>
      <c r="DFP422" s="274"/>
      <c r="DFQ422" s="274"/>
      <c r="DFR422" s="274"/>
      <c r="DFS422" s="274"/>
      <c r="DFT422" s="274"/>
      <c r="DFU422" s="274"/>
      <c r="DFV422" s="274"/>
      <c r="DFW422" s="274"/>
      <c r="DFX422" s="274"/>
      <c r="DFY422" s="274"/>
      <c r="DFZ422" s="274"/>
      <c r="DGA422" s="274"/>
      <c r="DGB422" s="274"/>
      <c r="DGC422" s="274"/>
      <c r="DGD422" s="274"/>
      <c r="DGE422" s="274"/>
      <c r="DGF422" s="274"/>
      <c r="DGG422" s="274"/>
      <c r="DGH422" s="274"/>
      <c r="DGI422" s="274"/>
      <c r="DGJ422" s="274"/>
      <c r="DGK422" s="274"/>
      <c r="DGL422" s="274"/>
      <c r="DGM422" s="274"/>
      <c r="DGN422" s="274"/>
      <c r="DGO422" s="274"/>
      <c r="DGP422" s="274"/>
      <c r="DGQ422" s="274"/>
      <c r="DGR422" s="274"/>
      <c r="DGS422" s="274"/>
      <c r="DGT422" s="274"/>
      <c r="DGU422" s="274"/>
      <c r="DGV422" s="274"/>
      <c r="DGW422" s="274"/>
      <c r="DGX422" s="274"/>
      <c r="DGY422" s="274"/>
      <c r="DGZ422" s="274"/>
      <c r="DHA422" s="274"/>
      <c r="DHB422" s="274"/>
      <c r="DHC422" s="274"/>
      <c r="DHD422" s="274"/>
      <c r="DHE422" s="274"/>
      <c r="DHF422" s="274"/>
      <c r="DHG422" s="274"/>
      <c r="DHH422" s="274"/>
      <c r="DHI422" s="274"/>
      <c r="DHJ422" s="274"/>
      <c r="DHK422" s="274"/>
      <c r="DHL422" s="274"/>
      <c r="DHM422" s="274"/>
      <c r="DHN422" s="274"/>
      <c r="DHO422" s="274"/>
      <c r="DHP422" s="274"/>
      <c r="DHQ422" s="274"/>
      <c r="DHR422" s="274"/>
      <c r="DHS422" s="274"/>
      <c r="DHT422" s="274"/>
      <c r="DHU422" s="274"/>
      <c r="DHV422" s="274"/>
      <c r="DHW422" s="274"/>
      <c r="DHX422" s="274"/>
      <c r="DHY422" s="274"/>
      <c r="DHZ422" s="274"/>
      <c r="DIA422" s="274"/>
      <c r="DIB422" s="274"/>
      <c r="DIC422" s="274"/>
      <c r="DID422" s="274"/>
      <c r="DIE422" s="274"/>
      <c r="DIF422" s="274"/>
      <c r="DIG422" s="274"/>
      <c r="DIH422" s="274"/>
      <c r="DII422" s="274"/>
      <c r="DIJ422" s="274"/>
      <c r="DIK422" s="274"/>
      <c r="DIL422" s="274"/>
      <c r="DIM422" s="274"/>
      <c r="DIN422" s="274"/>
      <c r="DIO422" s="274"/>
      <c r="DIP422" s="274"/>
      <c r="DIQ422" s="274"/>
      <c r="DIR422" s="274"/>
      <c r="DIS422" s="274"/>
      <c r="DIT422" s="274"/>
      <c r="DIU422" s="274"/>
      <c r="DIV422" s="274"/>
      <c r="DIW422" s="274"/>
      <c r="DIX422" s="274"/>
      <c r="DIY422" s="274"/>
      <c r="DIZ422" s="274"/>
      <c r="DJA422" s="274"/>
      <c r="DJB422" s="274"/>
      <c r="DJC422" s="274"/>
      <c r="DJD422" s="274"/>
      <c r="DJE422" s="274"/>
      <c r="DJF422" s="274"/>
      <c r="DJG422" s="274"/>
      <c r="DJH422" s="274"/>
      <c r="DJI422" s="274"/>
      <c r="DJJ422" s="274"/>
      <c r="DJK422" s="274"/>
      <c r="DJL422" s="274"/>
      <c r="DJM422" s="274"/>
      <c r="DJN422" s="274"/>
      <c r="DJO422" s="274"/>
      <c r="DJP422" s="274"/>
      <c r="DJQ422" s="274"/>
      <c r="DJR422" s="274"/>
      <c r="DJS422" s="274"/>
      <c r="DJT422" s="274"/>
      <c r="DJU422" s="274"/>
      <c r="DJV422" s="274"/>
      <c r="DJW422" s="274"/>
      <c r="DJX422" s="274"/>
      <c r="DJY422" s="274"/>
      <c r="DJZ422" s="274"/>
      <c r="DKA422" s="274"/>
      <c r="DKB422" s="274"/>
      <c r="DKC422" s="274"/>
      <c r="DKD422" s="274"/>
      <c r="DKE422" s="274"/>
      <c r="DKF422" s="274"/>
      <c r="DKG422" s="274"/>
      <c r="DKH422" s="274"/>
      <c r="DKI422" s="274"/>
      <c r="DKJ422" s="274"/>
      <c r="DKK422" s="274"/>
      <c r="DKL422" s="274"/>
      <c r="DKM422" s="274"/>
      <c r="DKN422" s="274"/>
      <c r="DKO422" s="274"/>
      <c r="DKP422" s="274"/>
      <c r="DKQ422" s="274"/>
      <c r="DKR422" s="274"/>
      <c r="DKS422" s="274"/>
      <c r="DKT422" s="274"/>
      <c r="DKU422" s="274"/>
      <c r="DKV422" s="274"/>
      <c r="DKW422" s="274"/>
      <c r="DKX422" s="274"/>
      <c r="DKY422" s="274"/>
      <c r="DKZ422" s="274"/>
      <c r="DLA422" s="274"/>
      <c r="DLB422" s="274"/>
      <c r="DLC422" s="274"/>
      <c r="DLD422" s="274"/>
      <c r="DLE422" s="274"/>
      <c r="DLF422" s="274"/>
      <c r="DLG422" s="274"/>
      <c r="DLH422" s="274"/>
      <c r="DLI422" s="274"/>
      <c r="DLJ422" s="274"/>
      <c r="DLK422" s="274"/>
      <c r="DLL422" s="274"/>
      <c r="DLM422" s="274"/>
      <c r="DLN422" s="274"/>
      <c r="DLO422" s="274"/>
      <c r="DLP422" s="274"/>
      <c r="DLQ422" s="274"/>
      <c r="DLR422" s="274"/>
      <c r="DLS422" s="274"/>
      <c r="DLT422" s="274"/>
      <c r="DLU422" s="274"/>
      <c r="DLV422" s="274"/>
      <c r="DLW422" s="274"/>
      <c r="DLX422" s="274"/>
      <c r="DLY422" s="274"/>
      <c r="DLZ422" s="274"/>
      <c r="DMA422" s="274"/>
      <c r="DMB422" s="274"/>
      <c r="DMC422" s="274"/>
      <c r="DMD422" s="274"/>
      <c r="DME422" s="274"/>
      <c r="DMF422" s="274"/>
      <c r="DMG422" s="274"/>
      <c r="DMH422" s="274"/>
      <c r="DMI422" s="274"/>
      <c r="DMJ422" s="274"/>
      <c r="DMK422" s="274"/>
      <c r="DML422" s="274"/>
      <c r="DMM422" s="274"/>
      <c r="DMN422" s="274"/>
      <c r="DMO422" s="274"/>
      <c r="DMP422" s="274"/>
      <c r="DMQ422" s="274"/>
      <c r="DMR422" s="274"/>
      <c r="DMS422" s="274"/>
      <c r="DMT422" s="274"/>
      <c r="DMU422" s="274"/>
      <c r="DMV422" s="274"/>
      <c r="DMW422" s="274"/>
      <c r="DMX422" s="274"/>
      <c r="DMY422" s="274"/>
      <c r="DMZ422" s="274"/>
      <c r="DNA422" s="274"/>
      <c r="DNB422" s="274"/>
      <c r="DNC422" s="274"/>
      <c r="DND422" s="274"/>
      <c r="DNE422" s="274"/>
      <c r="DNF422" s="274"/>
      <c r="DNG422" s="274"/>
      <c r="DNH422" s="274"/>
      <c r="DNI422" s="274"/>
      <c r="DNJ422" s="274"/>
      <c r="DNK422" s="274"/>
      <c r="DNL422" s="274"/>
      <c r="DNM422" s="274"/>
      <c r="DNN422" s="274"/>
      <c r="DNO422" s="274"/>
      <c r="DNP422" s="274"/>
      <c r="DNQ422" s="274"/>
      <c r="DNR422" s="274"/>
      <c r="DNS422" s="274"/>
      <c r="DNT422" s="274"/>
      <c r="DNU422" s="274"/>
      <c r="DNV422" s="274"/>
      <c r="DNW422" s="274"/>
      <c r="DNX422" s="274"/>
      <c r="DNY422" s="274"/>
      <c r="DNZ422" s="274"/>
      <c r="DOA422" s="274"/>
      <c r="DOB422" s="274"/>
      <c r="DOC422" s="274"/>
      <c r="DOD422" s="274"/>
      <c r="DOE422" s="274"/>
      <c r="DOF422" s="274"/>
      <c r="DOG422" s="274"/>
      <c r="DOH422" s="274"/>
      <c r="DOI422" s="274"/>
      <c r="DOJ422" s="274"/>
      <c r="DOK422" s="274"/>
      <c r="DOL422" s="274"/>
      <c r="DOM422" s="274"/>
      <c r="DON422" s="274"/>
      <c r="DOO422" s="274"/>
      <c r="DOP422" s="274"/>
      <c r="DOQ422" s="274"/>
      <c r="DOR422" s="274"/>
      <c r="DOS422" s="274"/>
      <c r="DOT422" s="274"/>
      <c r="DOU422" s="274"/>
      <c r="DOV422" s="274"/>
      <c r="DOW422" s="274"/>
      <c r="DOX422" s="274"/>
      <c r="DOY422" s="274"/>
      <c r="DOZ422" s="274"/>
      <c r="DPA422" s="274"/>
      <c r="DPB422" s="274"/>
      <c r="DPC422" s="274"/>
      <c r="DPD422" s="274"/>
      <c r="DPE422" s="274"/>
      <c r="DPF422" s="274"/>
      <c r="DPG422" s="274"/>
      <c r="DPH422" s="274"/>
      <c r="DPI422" s="274"/>
      <c r="DPJ422" s="274"/>
      <c r="DPK422" s="274"/>
      <c r="DPL422" s="274"/>
      <c r="DPM422" s="274"/>
      <c r="DPN422" s="274"/>
      <c r="DPO422" s="274"/>
      <c r="DPP422" s="274"/>
      <c r="DPQ422" s="274"/>
      <c r="DPR422" s="274"/>
      <c r="DPS422" s="274"/>
      <c r="DPT422" s="274"/>
      <c r="DPU422" s="274"/>
      <c r="DPV422" s="274"/>
      <c r="DPW422" s="274"/>
      <c r="DPX422" s="274"/>
      <c r="DPY422" s="274"/>
      <c r="DPZ422" s="274"/>
      <c r="DQA422" s="274"/>
      <c r="DQB422" s="274"/>
      <c r="DQC422" s="274"/>
      <c r="DQD422" s="274"/>
      <c r="DQE422" s="274"/>
      <c r="DQF422" s="274"/>
      <c r="DQG422" s="274"/>
      <c r="DQH422" s="274"/>
      <c r="DQI422" s="274"/>
      <c r="DQJ422" s="274"/>
      <c r="DQK422" s="274"/>
      <c r="DQL422" s="274"/>
      <c r="DQM422" s="274"/>
      <c r="DQN422" s="274"/>
      <c r="DQO422" s="274"/>
      <c r="DQP422" s="274"/>
      <c r="DQQ422" s="274"/>
      <c r="DQR422" s="274"/>
      <c r="DQS422" s="274"/>
      <c r="DQT422" s="274"/>
      <c r="DQU422" s="274"/>
      <c r="DQV422" s="274"/>
      <c r="DQW422" s="274"/>
      <c r="DQX422" s="274"/>
      <c r="DQY422" s="274"/>
      <c r="DQZ422" s="274"/>
      <c r="DRA422" s="274"/>
      <c r="DRB422" s="274"/>
      <c r="DRC422" s="274"/>
      <c r="DRD422" s="274"/>
      <c r="DRE422" s="274"/>
      <c r="DRF422" s="274"/>
      <c r="DRG422" s="274"/>
      <c r="DRH422" s="274"/>
      <c r="DRI422" s="274"/>
      <c r="DRJ422" s="274"/>
      <c r="DRK422" s="274"/>
      <c r="DRL422" s="274"/>
      <c r="DRM422" s="274"/>
      <c r="DRN422" s="274"/>
      <c r="DRO422" s="274"/>
      <c r="DRP422" s="274"/>
      <c r="DRQ422" s="274"/>
      <c r="DRR422" s="274"/>
      <c r="DRS422" s="274"/>
      <c r="DRT422" s="274"/>
      <c r="DRU422" s="274"/>
      <c r="DRV422" s="274"/>
      <c r="DRW422" s="274"/>
      <c r="DRX422" s="274"/>
      <c r="DRY422" s="274"/>
      <c r="DRZ422" s="274"/>
      <c r="DSA422" s="274"/>
      <c r="DSB422" s="274"/>
      <c r="DSC422" s="274"/>
      <c r="DSD422" s="274"/>
      <c r="DSE422" s="274"/>
      <c r="DSF422" s="274"/>
      <c r="DSG422" s="274"/>
      <c r="DSH422" s="274"/>
      <c r="DSI422" s="274"/>
      <c r="DSJ422" s="274"/>
      <c r="DSK422" s="274"/>
      <c r="DSL422" s="274"/>
      <c r="DSM422" s="274"/>
      <c r="DSN422" s="274"/>
      <c r="DSO422" s="274"/>
      <c r="DSP422" s="274"/>
      <c r="DSQ422" s="274"/>
      <c r="DSR422" s="274"/>
      <c r="DSS422" s="274"/>
      <c r="DST422" s="274"/>
      <c r="DSU422" s="274"/>
      <c r="DSV422" s="274"/>
      <c r="DSW422" s="274"/>
      <c r="DSX422" s="274"/>
      <c r="DSY422" s="274"/>
      <c r="DSZ422" s="274"/>
      <c r="DTA422" s="274"/>
      <c r="DTB422" s="274"/>
      <c r="DTC422" s="274"/>
      <c r="DTD422" s="274"/>
      <c r="DTE422" s="274"/>
      <c r="DTF422" s="274"/>
      <c r="DTG422" s="274"/>
      <c r="DTH422" s="274"/>
      <c r="DTI422" s="274"/>
      <c r="DTJ422" s="274"/>
      <c r="DTK422" s="274"/>
      <c r="DTL422" s="274"/>
      <c r="DTM422" s="274"/>
      <c r="DTN422" s="274"/>
      <c r="DTO422" s="274"/>
      <c r="DTP422" s="274"/>
      <c r="DTQ422" s="274"/>
      <c r="DTR422" s="274"/>
      <c r="DTS422" s="274"/>
      <c r="DTT422" s="274"/>
      <c r="DTU422" s="274"/>
      <c r="DTV422" s="274"/>
      <c r="DTW422" s="274"/>
      <c r="DTX422" s="274"/>
      <c r="DTY422" s="274"/>
      <c r="DTZ422" s="274"/>
      <c r="DUA422" s="274"/>
      <c r="DUB422" s="274"/>
      <c r="DUC422" s="274"/>
      <c r="DUD422" s="274"/>
      <c r="DUE422" s="274"/>
      <c r="DUF422" s="274"/>
      <c r="DUG422" s="274"/>
      <c r="DUH422" s="274"/>
      <c r="DUI422" s="274"/>
      <c r="DUJ422" s="274"/>
      <c r="DUK422" s="274"/>
      <c r="DUL422" s="274"/>
      <c r="DUM422" s="274"/>
      <c r="DUN422" s="274"/>
      <c r="DUO422" s="274"/>
      <c r="DUP422" s="274"/>
      <c r="DUQ422" s="274"/>
      <c r="DUR422" s="274"/>
      <c r="DUS422" s="274"/>
      <c r="DUT422" s="274"/>
      <c r="DUU422" s="274"/>
      <c r="DUV422" s="274"/>
      <c r="DUW422" s="274"/>
      <c r="DUX422" s="274"/>
      <c r="DUY422" s="274"/>
      <c r="DUZ422" s="274"/>
      <c r="DVA422" s="274"/>
      <c r="DVB422" s="274"/>
      <c r="DVC422" s="274"/>
      <c r="DVD422" s="274"/>
      <c r="DVE422" s="274"/>
      <c r="DVF422" s="274"/>
      <c r="DVG422" s="274"/>
      <c r="DVH422" s="274"/>
      <c r="DVI422" s="274"/>
      <c r="DVJ422" s="274"/>
      <c r="DVK422" s="274"/>
      <c r="DVL422" s="274"/>
      <c r="DVM422" s="274"/>
      <c r="DVN422" s="274"/>
      <c r="DVO422" s="274"/>
      <c r="DVP422" s="274"/>
      <c r="DVQ422" s="274"/>
      <c r="DVR422" s="274"/>
      <c r="DVS422" s="274"/>
      <c r="DVT422" s="274"/>
      <c r="DVU422" s="274"/>
      <c r="DVV422" s="274"/>
      <c r="DVW422" s="274"/>
      <c r="DVX422" s="274"/>
      <c r="DVY422" s="274"/>
      <c r="DVZ422" s="274"/>
      <c r="DWA422" s="274"/>
      <c r="DWB422" s="274"/>
      <c r="DWC422" s="274"/>
      <c r="DWD422" s="274"/>
      <c r="DWE422" s="274"/>
      <c r="DWF422" s="274"/>
      <c r="DWG422" s="274"/>
      <c r="DWH422" s="274"/>
      <c r="DWI422" s="274"/>
      <c r="DWJ422" s="274"/>
      <c r="DWK422" s="274"/>
      <c r="DWL422" s="274"/>
      <c r="DWM422" s="274"/>
      <c r="DWN422" s="274"/>
      <c r="DWO422" s="274"/>
      <c r="DWP422" s="274"/>
      <c r="DWQ422" s="274"/>
      <c r="DWR422" s="274"/>
      <c r="DWS422" s="274"/>
      <c r="DWT422" s="274"/>
      <c r="DWU422" s="274"/>
      <c r="DWV422" s="274"/>
      <c r="DWW422" s="274"/>
      <c r="DWX422" s="274"/>
      <c r="DWY422" s="274"/>
      <c r="DWZ422" s="274"/>
      <c r="DXA422" s="274"/>
      <c r="DXB422" s="274"/>
      <c r="DXC422" s="274"/>
      <c r="DXD422" s="274"/>
      <c r="DXE422" s="274"/>
      <c r="DXF422" s="274"/>
      <c r="DXG422" s="274"/>
      <c r="DXH422" s="274"/>
      <c r="DXI422" s="274"/>
      <c r="DXJ422" s="274"/>
      <c r="DXK422" s="274"/>
      <c r="DXL422" s="274"/>
      <c r="DXM422" s="274"/>
      <c r="DXN422" s="274"/>
      <c r="DXO422" s="274"/>
      <c r="DXP422" s="274"/>
      <c r="DXQ422" s="274"/>
      <c r="DXR422" s="274"/>
      <c r="DXS422" s="274"/>
      <c r="DXT422" s="274"/>
      <c r="DXU422" s="274"/>
      <c r="DXV422" s="274"/>
      <c r="DXW422" s="274"/>
      <c r="DXX422" s="274"/>
      <c r="DXY422" s="274"/>
      <c r="DXZ422" s="274"/>
      <c r="DYA422" s="274"/>
      <c r="DYB422" s="274"/>
      <c r="DYC422" s="274"/>
      <c r="DYD422" s="274"/>
      <c r="DYE422" s="274"/>
      <c r="DYF422" s="274"/>
      <c r="DYG422" s="274"/>
      <c r="DYH422" s="274"/>
      <c r="DYI422" s="274"/>
      <c r="DYJ422" s="274"/>
      <c r="DYK422" s="274"/>
      <c r="DYL422" s="274"/>
      <c r="DYM422" s="274"/>
      <c r="DYN422" s="274"/>
      <c r="DYO422" s="274"/>
      <c r="DYP422" s="274"/>
      <c r="DYQ422" s="274"/>
      <c r="DYR422" s="274"/>
      <c r="DYS422" s="274"/>
      <c r="DYT422" s="274"/>
      <c r="DYU422" s="274"/>
      <c r="DYV422" s="274"/>
      <c r="DYW422" s="274"/>
      <c r="DYX422" s="274"/>
      <c r="DYY422" s="274"/>
      <c r="DYZ422" s="274"/>
      <c r="DZA422" s="274"/>
      <c r="DZB422" s="274"/>
      <c r="DZC422" s="274"/>
      <c r="DZD422" s="274"/>
      <c r="DZE422" s="274"/>
      <c r="DZF422" s="274"/>
      <c r="DZG422" s="274"/>
      <c r="DZH422" s="274"/>
      <c r="DZI422" s="274"/>
      <c r="DZJ422" s="274"/>
      <c r="DZK422" s="274"/>
      <c r="DZL422" s="274"/>
      <c r="DZM422" s="274"/>
      <c r="DZN422" s="274"/>
      <c r="DZO422" s="274"/>
      <c r="DZP422" s="274"/>
      <c r="DZQ422" s="274"/>
      <c r="DZR422" s="274"/>
      <c r="DZS422" s="274"/>
      <c r="DZT422" s="274"/>
      <c r="DZU422" s="274"/>
      <c r="DZV422" s="274"/>
      <c r="DZW422" s="274"/>
      <c r="DZX422" s="274"/>
      <c r="DZY422" s="274"/>
      <c r="DZZ422" s="274"/>
      <c r="EAA422" s="274"/>
      <c r="EAB422" s="274"/>
      <c r="EAC422" s="274"/>
      <c r="EAD422" s="274"/>
      <c r="EAE422" s="274"/>
      <c r="EAF422" s="274"/>
      <c r="EAG422" s="274"/>
      <c r="EAH422" s="274"/>
      <c r="EAI422" s="274"/>
      <c r="EAJ422" s="274"/>
      <c r="EAK422" s="274"/>
      <c r="EAL422" s="274"/>
      <c r="EAM422" s="274"/>
      <c r="EAN422" s="274"/>
      <c r="EAO422" s="274"/>
      <c r="EAP422" s="274"/>
      <c r="EAQ422" s="274"/>
      <c r="EAR422" s="274"/>
      <c r="EAS422" s="274"/>
      <c r="EAT422" s="274"/>
      <c r="EAU422" s="274"/>
      <c r="EAV422" s="274"/>
      <c r="EAW422" s="274"/>
      <c r="EAX422" s="274"/>
      <c r="EAY422" s="274"/>
      <c r="EAZ422" s="274"/>
      <c r="EBA422" s="274"/>
      <c r="EBB422" s="274"/>
      <c r="EBC422" s="274"/>
      <c r="EBD422" s="274"/>
      <c r="EBE422" s="274"/>
      <c r="EBF422" s="274"/>
      <c r="EBG422" s="274"/>
      <c r="EBH422" s="274"/>
      <c r="EBI422" s="274"/>
      <c r="EBJ422" s="274"/>
      <c r="EBK422" s="274"/>
      <c r="EBL422" s="274"/>
      <c r="EBM422" s="274"/>
      <c r="EBN422" s="274"/>
      <c r="EBO422" s="274"/>
      <c r="EBP422" s="274"/>
      <c r="EBQ422" s="274"/>
      <c r="EBR422" s="274"/>
      <c r="EBS422" s="274"/>
      <c r="EBT422" s="274"/>
      <c r="EBU422" s="274"/>
      <c r="EBV422" s="274"/>
      <c r="EBW422" s="274"/>
      <c r="EBX422" s="274"/>
      <c r="EBY422" s="274"/>
      <c r="EBZ422" s="274"/>
      <c r="ECA422" s="274"/>
      <c r="ECB422" s="274"/>
      <c r="ECC422" s="274"/>
      <c r="ECD422" s="274"/>
      <c r="ECE422" s="274"/>
      <c r="ECF422" s="274"/>
      <c r="ECG422" s="274"/>
      <c r="ECH422" s="274"/>
      <c r="ECI422" s="274"/>
      <c r="ECJ422" s="274"/>
      <c r="ECK422" s="274"/>
      <c r="ECL422" s="274"/>
      <c r="ECM422" s="274"/>
      <c r="ECN422" s="274"/>
      <c r="ECO422" s="274"/>
      <c r="ECP422" s="274"/>
      <c r="ECQ422" s="274"/>
      <c r="ECR422" s="274"/>
      <c r="ECS422" s="274"/>
      <c r="ECT422" s="274"/>
      <c r="ECU422" s="274"/>
      <c r="ECV422" s="274"/>
      <c r="ECW422" s="274"/>
      <c r="ECX422" s="274"/>
      <c r="ECY422" s="274"/>
      <c r="ECZ422" s="274"/>
      <c r="EDA422" s="274"/>
      <c r="EDB422" s="274"/>
      <c r="EDC422" s="274"/>
      <c r="EDD422" s="274"/>
      <c r="EDE422" s="274"/>
      <c r="EDF422" s="274"/>
      <c r="EDG422" s="274"/>
      <c r="EDH422" s="274"/>
      <c r="EDI422" s="274"/>
      <c r="EDJ422" s="274"/>
      <c r="EDK422" s="274"/>
      <c r="EDL422" s="274"/>
      <c r="EDM422" s="274"/>
      <c r="EDN422" s="274"/>
      <c r="EDO422" s="274"/>
      <c r="EDP422" s="274"/>
      <c r="EDQ422" s="274"/>
      <c r="EDR422" s="274"/>
      <c r="EDS422" s="274"/>
      <c r="EDT422" s="274"/>
      <c r="EDU422" s="274"/>
      <c r="EDV422" s="274"/>
      <c r="EDW422" s="274"/>
      <c r="EDX422" s="274"/>
      <c r="EDY422" s="274"/>
      <c r="EDZ422" s="274"/>
      <c r="EEA422" s="274"/>
      <c r="EEB422" s="274"/>
      <c r="EEC422" s="274"/>
      <c r="EED422" s="274"/>
      <c r="EEE422" s="274"/>
      <c r="EEF422" s="274"/>
      <c r="EEG422" s="274"/>
      <c r="EEH422" s="274"/>
      <c r="EEI422" s="274"/>
      <c r="EEJ422" s="274"/>
      <c r="EEK422" s="274"/>
      <c r="EEL422" s="274"/>
      <c r="EEM422" s="274"/>
      <c r="EEN422" s="274"/>
      <c r="EEO422" s="274"/>
      <c r="EEP422" s="274"/>
      <c r="EEQ422" s="274"/>
      <c r="EER422" s="274"/>
      <c r="EES422" s="274"/>
      <c r="EET422" s="274"/>
      <c r="EEU422" s="274"/>
      <c r="EEV422" s="274"/>
      <c r="EEW422" s="274"/>
      <c r="EEX422" s="274"/>
      <c r="EEY422" s="274"/>
      <c r="EEZ422" s="274"/>
      <c r="EFA422" s="274"/>
      <c r="EFB422" s="274"/>
      <c r="EFC422" s="274"/>
      <c r="EFD422" s="274"/>
      <c r="EFE422" s="274"/>
      <c r="EFF422" s="274"/>
      <c r="EFG422" s="274"/>
      <c r="EFH422" s="274"/>
      <c r="EFI422" s="274"/>
      <c r="EFJ422" s="274"/>
      <c r="EFK422" s="274"/>
      <c r="EFL422" s="274"/>
      <c r="EFM422" s="274"/>
      <c r="EFN422" s="274"/>
      <c r="EFO422" s="274"/>
      <c r="EFP422" s="274"/>
      <c r="EFQ422" s="274"/>
      <c r="EFR422" s="274"/>
      <c r="EFS422" s="274"/>
      <c r="EFT422" s="274"/>
      <c r="EFU422" s="274"/>
      <c r="EFV422" s="274"/>
      <c r="EFW422" s="274"/>
      <c r="EFX422" s="274"/>
      <c r="EFY422" s="274"/>
      <c r="EFZ422" s="274"/>
      <c r="EGA422" s="274"/>
      <c r="EGB422" s="274"/>
      <c r="EGC422" s="274"/>
      <c r="EGD422" s="274"/>
      <c r="EGE422" s="274"/>
      <c r="EGF422" s="274"/>
      <c r="EGG422" s="274"/>
      <c r="EGH422" s="274"/>
      <c r="EGI422" s="274"/>
      <c r="EGJ422" s="274"/>
      <c r="EGK422" s="274"/>
      <c r="EGL422" s="274"/>
      <c r="EGM422" s="274"/>
      <c r="EGN422" s="274"/>
      <c r="EGO422" s="274"/>
      <c r="EGP422" s="274"/>
      <c r="EGQ422" s="274"/>
      <c r="EGR422" s="274"/>
      <c r="EGS422" s="274"/>
      <c r="EGT422" s="274"/>
      <c r="EGU422" s="274"/>
      <c r="EGV422" s="274"/>
      <c r="EGW422" s="274"/>
      <c r="EGX422" s="274"/>
      <c r="EGY422" s="274"/>
      <c r="EGZ422" s="274"/>
      <c r="EHA422" s="274"/>
      <c r="EHB422" s="274"/>
      <c r="EHC422" s="274"/>
      <c r="EHD422" s="274"/>
      <c r="EHE422" s="274"/>
      <c r="EHF422" s="274"/>
      <c r="EHG422" s="274"/>
      <c r="EHH422" s="274"/>
      <c r="EHI422" s="274"/>
      <c r="EHJ422" s="274"/>
      <c r="EHK422" s="274"/>
      <c r="EHL422" s="274"/>
      <c r="EHM422" s="274"/>
      <c r="EHN422" s="274"/>
      <c r="EHO422" s="274"/>
      <c r="EHP422" s="274"/>
      <c r="EHQ422" s="274"/>
      <c r="EHR422" s="274"/>
      <c r="EHS422" s="274"/>
      <c r="EHT422" s="274"/>
      <c r="EHU422" s="274"/>
      <c r="EHV422" s="274"/>
      <c r="EHW422" s="274"/>
      <c r="EHX422" s="274"/>
      <c r="EHY422" s="274"/>
      <c r="EHZ422" s="274"/>
      <c r="EIA422" s="274"/>
      <c r="EIB422" s="274"/>
      <c r="EIC422" s="274"/>
      <c r="EID422" s="274"/>
      <c r="EIE422" s="274"/>
      <c r="EIF422" s="274"/>
      <c r="EIG422" s="274"/>
      <c r="EIH422" s="274"/>
      <c r="EII422" s="274"/>
      <c r="EIJ422" s="274"/>
      <c r="EIK422" s="274"/>
      <c r="EIL422" s="274"/>
      <c r="EIM422" s="274"/>
      <c r="EIN422" s="274"/>
      <c r="EIO422" s="274"/>
      <c r="EIP422" s="274"/>
      <c r="EIQ422" s="274"/>
      <c r="EIR422" s="274"/>
      <c r="EIS422" s="274"/>
      <c r="EIT422" s="274"/>
      <c r="EIU422" s="274"/>
      <c r="EIV422" s="274"/>
      <c r="EIW422" s="274"/>
      <c r="EIX422" s="274"/>
      <c r="EIY422" s="274"/>
      <c r="EIZ422" s="274"/>
      <c r="EJA422" s="274"/>
      <c r="EJB422" s="274"/>
      <c r="EJC422" s="274"/>
      <c r="EJD422" s="274"/>
      <c r="EJE422" s="274"/>
      <c r="EJF422" s="274"/>
      <c r="EJG422" s="274"/>
      <c r="EJH422" s="274"/>
      <c r="EJI422" s="274"/>
      <c r="EJJ422" s="274"/>
      <c r="EJK422" s="274"/>
      <c r="EJL422" s="274"/>
      <c r="EJM422" s="274"/>
      <c r="EJN422" s="274"/>
      <c r="EJO422" s="274"/>
      <c r="EJP422" s="274"/>
      <c r="EJQ422" s="274"/>
      <c r="EJR422" s="274"/>
      <c r="EJS422" s="274"/>
      <c r="EJT422" s="274"/>
      <c r="EJU422" s="274"/>
      <c r="EJV422" s="274"/>
      <c r="EJW422" s="274"/>
      <c r="EJX422" s="274"/>
      <c r="EJY422" s="274"/>
      <c r="EJZ422" s="274"/>
      <c r="EKA422" s="274"/>
      <c r="EKB422" s="274"/>
      <c r="EKC422" s="274"/>
      <c r="EKD422" s="274"/>
      <c r="EKE422" s="274"/>
      <c r="EKF422" s="274"/>
      <c r="EKG422" s="274"/>
      <c r="EKH422" s="274"/>
      <c r="EKI422" s="274"/>
      <c r="EKJ422" s="274"/>
      <c r="EKK422" s="274"/>
      <c r="EKL422" s="274"/>
      <c r="EKM422" s="274"/>
      <c r="EKN422" s="274"/>
      <c r="EKO422" s="274"/>
      <c r="EKP422" s="274"/>
      <c r="EKQ422" s="274"/>
      <c r="EKR422" s="274"/>
      <c r="EKS422" s="274"/>
      <c r="EKT422" s="274"/>
      <c r="EKU422" s="274"/>
      <c r="EKV422" s="274"/>
      <c r="EKW422" s="274"/>
      <c r="EKX422" s="274"/>
      <c r="EKY422" s="274"/>
      <c r="EKZ422" s="274"/>
      <c r="ELA422" s="274"/>
      <c r="ELB422" s="274"/>
      <c r="ELC422" s="274"/>
      <c r="ELD422" s="274"/>
      <c r="ELE422" s="274"/>
      <c r="ELF422" s="274"/>
      <c r="ELG422" s="274"/>
      <c r="ELH422" s="274"/>
      <c r="ELI422" s="274"/>
      <c r="ELJ422" s="274"/>
      <c r="ELK422" s="274"/>
      <c r="ELL422" s="274"/>
      <c r="ELM422" s="274"/>
      <c r="ELN422" s="274"/>
      <c r="ELO422" s="274"/>
      <c r="ELP422" s="274"/>
      <c r="ELQ422" s="274"/>
      <c r="ELR422" s="274"/>
      <c r="ELS422" s="274"/>
      <c r="ELT422" s="274"/>
      <c r="ELU422" s="274"/>
      <c r="ELV422" s="274"/>
      <c r="ELW422" s="274"/>
      <c r="ELX422" s="274"/>
      <c r="ELY422" s="274"/>
      <c r="ELZ422" s="274"/>
      <c r="EMA422" s="274"/>
      <c r="EMB422" s="274"/>
      <c r="EMC422" s="274"/>
      <c r="EMD422" s="274"/>
      <c r="EME422" s="274"/>
      <c r="EMF422" s="274"/>
      <c r="EMG422" s="274"/>
      <c r="EMH422" s="274"/>
      <c r="EMI422" s="274"/>
      <c r="EMJ422" s="274"/>
      <c r="EMK422" s="274"/>
      <c r="EML422" s="274"/>
      <c r="EMM422" s="274"/>
      <c r="EMN422" s="274"/>
      <c r="EMO422" s="274"/>
      <c r="EMP422" s="274"/>
      <c r="EMQ422" s="274"/>
      <c r="EMR422" s="274"/>
      <c r="EMS422" s="274"/>
      <c r="EMT422" s="274"/>
      <c r="EMU422" s="274"/>
      <c r="EMV422" s="274"/>
      <c r="EMW422" s="274"/>
      <c r="EMX422" s="274"/>
      <c r="EMY422" s="274"/>
      <c r="EMZ422" s="274"/>
      <c r="ENA422" s="274"/>
      <c r="ENB422" s="274"/>
      <c r="ENC422" s="274"/>
      <c r="END422" s="274"/>
      <c r="ENE422" s="274"/>
      <c r="ENF422" s="274"/>
      <c r="ENG422" s="274"/>
      <c r="ENH422" s="274"/>
      <c r="ENI422" s="274"/>
      <c r="ENJ422" s="274"/>
      <c r="ENK422" s="274"/>
      <c r="ENL422" s="274"/>
      <c r="ENM422" s="274"/>
      <c r="ENN422" s="274"/>
      <c r="ENO422" s="274"/>
      <c r="ENP422" s="274"/>
      <c r="ENQ422" s="274"/>
      <c r="ENR422" s="274"/>
      <c r="ENS422" s="274"/>
      <c r="ENT422" s="274"/>
      <c r="ENU422" s="274"/>
      <c r="ENV422" s="274"/>
      <c r="ENW422" s="274"/>
      <c r="ENX422" s="274"/>
      <c r="ENY422" s="274"/>
      <c r="ENZ422" s="274"/>
      <c r="EOA422" s="274"/>
      <c r="EOB422" s="274"/>
      <c r="EOC422" s="274"/>
      <c r="EOD422" s="274"/>
      <c r="EOE422" s="274"/>
      <c r="EOF422" s="274"/>
      <c r="EOG422" s="274"/>
      <c r="EOH422" s="274"/>
      <c r="EOI422" s="274"/>
      <c r="EOJ422" s="274"/>
      <c r="EOK422" s="274"/>
      <c r="EOL422" s="274"/>
      <c r="EOM422" s="274"/>
      <c r="EON422" s="274"/>
      <c r="EOO422" s="274"/>
      <c r="EOP422" s="274"/>
      <c r="EOQ422" s="274"/>
      <c r="EOR422" s="274"/>
      <c r="EOS422" s="274"/>
      <c r="EOT422" s="274"/>
      <c r="EOU422" s="274"/>
      <c r="EOV422" s="274"/>
      <c r="EOW422" s="274"/>
      <c r="EOX422" s="274"/>
      <c r="EOY422" s="274"/>
      <c r="EOZ422" s="274"/>
      <c r="EPA422" s="274"/>
      <c r="EPB422" s="274"/>
      <c r="EPC422" s="274"/>
      <c r="EPD422" s="274"/>
      <c r="EPE422" s="274"/>
      <c r="EPF422" s="274"/>
      <c r="EPG422" s="274"/>
      <c r="EPH422" s="274"/>
      <c r="EPI422" s="274"/>
      <c r="EPJ422" s="274"/>
      <c r="EPK422" s="274"/>
      <c r="EPL422" s="274"/>
      <c r="EPM422" s="274"/>
      <c r="EPN422" s="274"/>
      <c r="EPO422" s="274"/>
      <c r="EPP422" s="274"/>
      <c r="EPQ422" s="274"/>
      <c r="EPR422" s="274"/>
      <c r="EPS422" s="274"/>
      <c r="EPT422" s="274"/>
      <c r="EPU422" s="274"/>
      <c r="EPV422" s="274"/>
      <c r="EPW422" s="274"/>
      <c r="EPX422" s="274"/>
      <c r="EPY422" s="274"/>
      <c r="EPZ422" s="274"/>
      <c r="EQA422" s="274"/>
      <c r="EQB422" s="274"/>
      <c r="EQC422" s="274"/>
      <c r="EQD422" s="274"/>
      <c r="EQE422" s="274"/>
      <c r="EQF422" s="274"/>
      <c r="EQG422" s="274"/>
      <c r="EQH422" s="274"/>
      <c r="EQI422" s="274"/>
      <c r="EQJ422" s="274"/>
      <c r="EQK422" s="274"/>
      <c r="EQL422" s="274"/>
      <c r="EQM422" s="274"/>
      <c r="EQN422" s="274"/>
      <c r="EQO422" s="274"/>
      <c r="EQP422" s="274"/>
      <c r="EQQ422" s="274"/>
      <c r="EQR422" s="274"/>
      <c r="EQS422" s="274"/>
      <c r="EQT422" s="274"/>
      <c r="EQU422" s="274"/>
      <c r="EQV422" s="274"/>
      <c r="EQW422" s="274"/>
      <c r="EQX422" s="274"/>
      <c r="EQY422" s="274"/>
      <c r="EQZ422" s="274"/>
      <c r="ERA422" s="274"/>
      <c r="ERB422" s="274"/>
      <c r="ERC422" s="274"/>
      <c r="ERD422" s="274"/>
      <c r="ERE422" s="274"/>
      <c r="ERF422" s="274"/>
      <c r="ERG422" s="274"/>
      <c r="ERH422" s="274"/>
      <c r="ERI422" s="274"/>
      <c r="ERJ422" s="274"/>
      <c r="ERK422" s="274"/>
      <c r="ERL422" s="274"/>
      <c r="ERM422" s="274"/>
      <c r="ERN422" s="274"/>
      <c r="ERO422" s="274"/>
      <c r="ERP422" s="274"/>
      <c r="ERQ422" s="274"/>
      <c r="ERR422" s="274"/>
      <c r="ERS422" s="274"/>
      <c r="ERT422" s="274"/>
      <c r="ERU422" s="274"/>
      <c r="ERV422" s="274"/>
      <c r="ERW422" s="274"/>
      <c r="ERX422" s="274"/>
      <c r="ERY422" s="274"/>
      <c r="ERZ422" s="274"/>
      <c r="ESA422" s="274"/>
      <c r="ESB422" s="274"/>
      <c r="ESC422" s="274"/>
      <c r="ESD422" s="274"/>
      <c r="ESE422" s="274"/>
      <c r="ESF422" s="274"/>
      <c r="ESG422" s="274"/>
      <c r="ESH422" s="274"/>
      <c r="ESI422" s="274"/>
      <c r="ESJ422" s="274"/>
      <c r="ESK422" s="274"/>
      <c r="ESL422" s="274"/>
      <c r="ESM422" s="274"/>
      <c r="ESN422" s="274"/>
      <c r="ESO422" s="274"/>
      <c r="ESP422" s="274"/>
      <c r="ESQ422" s="274"/>
      <c r="ESR422" s="274"/>
      <c r="ESS422" s="274"/>
      <c r="EST422" s="274"/>
      <c r="ESU422" s="274"/>
      <c r="ESV422" s="274"/>
      <c r="ESW422" s="274"/>
      <c r="ESX422" s="274"/>
      <c r="ESY422" s="274"/>
      <c r="ESZ422" s="274"/>
      <c r="ETA422" s="274"/>
      <c r="ETB422" s="274"/>
      <c r="ETC422" s="274"/>
      <c r="ETD422" s="274"/>
      <c r="ETE422" s="274"/>
      <c r="ETF422" s="274"/>
      <c r="ETG422" s="274"/>
      <c r="ETH422" s="274"/>
      <c r="ETI422" s="274"/>
      <c r="ETJ422" s="274"/>
      <c r="ETK422" s="274"/>
      <c r="ETL422" s="274"/>
      <c r="ETM422" s="274"/>
      <c r="ETN422" s="274"/>
      <c r="ETO422" s="274"/>
      <c r="ETP422" s="274"/>
      <c r="ETQ422" s="274"/>
      <c r="ETR422" s="274"/>
      <c r="ETS422" s="274"/>
      <c r="ETT422" s="274"/>
      <c r="ETU422" s="274"/>
      <c r="ETV422" s="274"/>
      <c r="ETW422" s="274"/>
      <c r="ETX422" s="274"/>
      <c r="ETY422" s="274"/>
      <c r="ETZ422" s="274"/>
      <c r="EUA422" s="274"/>
      <c r="EUB422" s="274"/>
      <c r="EUC422" s="274"/>
      <c r="EUD422" s="274"/>
      <c r="EUE422" s="274"/>
      <c r="EUF422" s="274"/>
      <c r="EUG422" s="274"/>
      <c r="EUH422" s="274"/>
      <c r="EUI422" s="274"/>
      <c r="EUJ422" s="274"/>
      <c r="EUK422" s="274"/>
      <c r="EUL422" s="274"/>
      <c r="EUM422" s="274"/>
      <c r="EUN422" s="274"/>
      <c r="EUO422" s="274"/>
      <c r="EUP422" s="274"/>
      <c r="EUQ422" s="274"/>
      <c r="EUR422" s="274"/>
      <c r="EUS422" s="274"/>
      <c r="EUT422" s="274"/>
      <c r="EUU422" s="274"/>
      <c r="EUV422" s="274"/>
      <c r="EUW422" s="274"/>
      <c r="EUX422" s="274"/>
      <c r="EUY422" s="274"/>
      <c r="EUZ422" s="274"/>
      <c r="EVA422" s="274"/>
      <c r="EVB422" s="274"/>
      <c r="EVC422" s="274"/>
      <c r="EVD422" s="274"/>
      <c r="EVE422" s="274"/>
      <c r="EVF422" s="274"/>
      <c r="EVG422" s="274"/>
      <c r="EVH422" s="274"/>
      <c r="EVI422" s="274"/>
      <c r="EVJ422" s="274"/>
      <c r="EVK422" s="274"/>
      <c r="EVL422" s="274"/>
      <c r="EVM422" s="274"/>
      <c r="EVN422" s="274"/>
      <c r="EVO422" s="274"/>
      <c r="EVP422" s="274"/>
      <c r="EVQ422" s="274"/>
      <c r="EVR422" s="274"/>
      <c r="EVS422" s="274"/>
      <c r="EVT422" s="274"/>
      <c r="EVU422" s="274"/>
      <c r="EVV422" s="274"/>
      <c r="EVW422" s="274"/>
      <c r="EVX422" s="274"/>
      <c r="EVY422" s="274"/>
      <c r="EVZ422" s="274"/>
      <c r="EWA422" s="274"/>
      <c r="EWB422" s="274"/>
      <c r="EWC422" s="274"/>
      <c r="EWD422" s="274"/>
      <c r="EWE422" s="274"/>
      <c r="EWF422" s="274"/>
      <c r="EWG422" s="274"/>
      <c r="EWH422" s="274"/>
      <c r="EWI422" s="274"/>
      <c r="EWJ422" s="274"/>
      <c r="EWK422" s="274"/>
      <c r="EWL422" s="274"/>
      <c r="EWM422" s="274"/>
      <c r="EWN422" s="274"/>
      <c r="EWO422" s="274"/>
      <c r="EWP422" s="274"/>
      <c r="EWQ422" s="274"/>
      <c r="EWR422" s="274"/>
      <c r="EWS422" s="274"/>
      <c r="EWT422" s="274"/>
      <c r="EWU422" s="274"/>
      <c r="EWV422" s="274"/>
      <c r="EWW422" s="274"/>
      <c r="EWX422" s="274"/>
      <c r="EWY422" s="274"/>
      <c r="EWZ422" s="274"/>
      <c r="EXA422" s="274"/>
      <c r="EXB422" s="274"/>
      <c r="EXC422" s="274"/>
      <c r="EXD422" s="274"/>
      <c r="EXE422" s="274"/>
      <c r="EXF422" s="274"/>
      <c r="EXG422" s="274"/>
      <c r="EXH422" s="274"/>
      <c r="EXI422" s="274"/>
      <c r="EXJ422" s="274"/>
      <c r="EXK422" s="274"/>
      <c r="EXL422" s="274"/>
      <c r="EXM422" s="274"/>
      <c r="EXN422" s="274"/>
      <c r="EXO422" s="274"/>
      <c r="EXP422" s="274"/>
      <c r="EXQ422" s="274"/>
      <c r="EXR422" s="274"/>
      <c r="EXS422" s="274"/>
      <c r="EXT422" s="274"/>
      <c r="EXU422" s="274"/>
      <c r="EXV422" s="274"/>
      <c r="EXW422" s="274"/>
      <c r="EXX422" s="274"/>
      <c r="EXY422" s="274"/>
      <c r="EXZ422" s="274"/>
      <c r="EYA422" s="274"/>
      <c r="EYB422" s="274"/>
      <c r="EYC422" s="274"/>
      <c r="EYD422" s="274"/>
      <c r="EYE422" s="274"/>
      <c r="EYF422" s="274"/>
      <c r="EYG422" s="274"/>
      <c r="EYH422" s="274"/>
      <c r="EYI422" s="274"/>
      <c r="EYJ422" s="274"/>
      <c r="EYK422" s="274"/>
      <c r="EYL422" s="274"/>
      <c r="EYM422" s="274"/>
      <c r="EYN422" s="274"/>
      <c r="EYO422" s="274"/>
      <c r="EYP422" s="274"/>
      <c r="EYQ422" s="274"/>
      <c r="EYR422" s="274"/>
      <c r="EYS422" s="274"/>
      <c r="EYT422" s="274"/>
      <c r="EYU422" s="274"/>
      <c r="EYV422" s="274"/>
      <c r="EYW422" s="274"/>
      <c r="EYX422" s="274"/>
      <c r="EYY422" s="274"/>
      <c r="EYZ422" s="274"/>
      <c r="EZA422" s="274"/>
      <c r="EZB422" s="274"/>
      <c r="EZC422" s="274"/>
      <c r="EZD422" s="274"/>
      <c r="EZE422" s="274"/>
      <c r="EZF422" s="274"/>
      <c r="EZG422" s="274"/>
      <c r="EZH422" s="274"/>
      <c r="EZI422" s="274"/>
      <c r="EZJ422" s="274"/>
      <c r="EZK422" s="274"/>
      <c r="EZL422" s="274"/>
      <c r="EZM422" s="274"/>
      <c r="EZN422" s="274"/>
      <c r="EZO422" s="274"/>
      <c r="EZP422" s="274"/>
      <c r="EZQ422" s="274"/>
      <c r="EZR422" s="274"/>
      <c r="EZS422" s="274"/>
      <c r="EZT422" s="274"/>
      <c r="EZU422" s="274"/>
      <c r="EZV422" s="274"/>
      <c r="EZW422" s="274"/>
      <c r="EZX422" s="274"/>
      <c r="EZY422" s="274"/>
      <c r="EZZ422" s="274"/>
      <c r="FAA422" s="274"/>
      <c r="FAB422" s="274"/>
      <c r="FAC422" s="274"/>
      <c r="FAD422" s="274"/>
      <c r="FAE422" s="274"/>
      <c r="FAF422" s="274"/>
      <c r="FAG422" s="274"/>
      <c r="FAH422" s="274"/>
      <c r="FAI422" s="274"/>
      <c r="FAJ422" s="274"/>
      <c r="FAK422" s="274"/>
      <c r="FAL422" s="274"/>
      <c r="FAM422" s="274"/>
      <c r="FAN422" s="274"/>
      <c r="FAO422" s="274"/>
      <c r="FAP422" s="274"/>
      <c r="FAQ422" s="274"/>
      <c r="FAR422" s="274"/>
      <c r="FAS422" s="274"/>
      <c r="FAT422" s="274"/>
      <c r="FAU422" s="274"/>
      <c r="FAV422" s="274"/>
      <c r="FAW422" s="274"/>
      <c r="FAX422" s="274"/>
      <c r="FAY422" s="274"/>
      <c r="FAZ422" s="274"/>
      <c r="FBA422" s="274"/>
      <c r="FBB422" s="274"/>
      <c r="FBC422" s="274"/>
      <c r="FBD422" s="274"/>
      <c r="FBE422" s="274"/>
      <c r="FBF422" s="274"/>
      <c r="FBG422" s="274"/>
      <c r="FBH422" s="274"/>
      <c r="FBI422" s="274"/>
      <c r="FBJ422" s="274"/>
      <c r="FBK422" s="274"/>
      <c r="FBL422" s="274"/>
      <c r="FBM422" s="274"/>
      <c r="FBN422" s="274"/>
      <c r="FBO422" s="274"/>
      <c r="FBP422" s="274"/>
      <c r="FBQ422" s="274"/>
      <c r="FBR422" s="274"/>
      <c r="FBS422" s="274"/>
      <c r="FBT422" s="274"/>
      <c r="FBU422" s="274"/>
      <c r="FBV422" s="274"/>
      <c r="FBW422" s="274"/>
      <c r="FBX422" s="274"/>
      <c r="FBY422" s="274"/>
      <c r="FBZ422" s="274"/>
      <c r="FCA422" s="274"/>
      <c r="FCB422" s="274"/>
      <c r="FCC422" s="274"/>
      <c r="FCD422" s="274"/>
      <c r="FCE422" s="274"/>
      <c r="FCF422" s="274"/>
      <c r="FCG422" s="274"/>
      <c r="FCH422" s="274"/>
      <c r="FCI422" s="274"/>
      <c r="FCJ422" s="274"/>
      <c r="FCK422" s="274"/>
      <c r="FCL422" s="274"/>
      <c r="FCM422" s="274"/>
      <c r="FCN422" s="274"/>
      <c r="FCO422" s="274"/>
      <c r="FCP422" s="274"/>
      <c r="FCQ422" s="274"/>
      <c r="FCR422" s="274"/>
      <c r="FCS422" s="274"/>
      <c r="FCT422" s="274"/>
      <c r="FCU422" s="274"/>
      <c r="FCV422" s="274"/>
      <c r="FCW422" s="274"/>
      <c r="FCX422" s="274"/>
      <c r="FCY422" s="274"/>
      <c r="FCZ422" s="274"/>
      <c r="FDA422" s="274"/>
      <c r="FDB422" s="274"/>
      <c r="FDC422" s="274"/>
      <c r="FDD422" s="274"/>
      <c r="FDE422" s="274"/>
      <c r="FDF422" s="274"/>
      <c r="FDG422" s="274"/>
      <c r="FDH422" s="274"/>
      <c r="FDI422" s="274"/>
      <c r="FDJ422" s="274"/>
      <c r="FDK422" s="274"/>
      <c r="FDL422" s="274"/>
      <c r="FDM422" s="274"/>
      <c r="FDN422" s="274"/>
      <c r="FDO422" s="274"/>
      <c r="FDP422" s="274"/>
      <c r="FDQ422" s="274"/>
      <c r="FDR422" s="274"/>
      <c r="FDS422" s="274"/>
      <c r="FDT422" s="274"/>
      <c r="FDU422" s="274"/>
      <c r="FDV422" s="274"/>
      <c r="FDW422" s="274"/>
      <c r="FDX422" s="274"/>
      <c r="FDY422" s="274"/>
      <c r="FDZ422" s="274"/>
      <c r="FEA422" s="274"/>
      <c r="FEB422" s="274"/>
      <c r="FEC422" s="274"/>
      <c r="FED422" s="274"/>
      <c r="FEE422" s="274"/>
      <c r="FEF422" s="274"/>
      <c r="FEG422" s="274"/>
      <c r="FEH422" s="274"/>
      <c r="FEI422" s="274"/>
      <c r="FEJ422" s="274"/>
      <c r="FEK422" s="274"/>
      <c r="FEL422" s="274"/>
      <c r="FEM422" s="274"/>
      <c r="FEN422" s="274"/>
      <c r="FEO422" s="274"/>
      <c r="FEP422" s="274"/>
      <c r="FEQ422" s="274"/>
      <c r="FER422" s="274"/>
      <c r="FES422" s="274"/>
      <c r="FET422" s="274"/>
      <c r="FEU422" s="274"/>
      <c r="FEV422" s="274"/>
      <c r="FEW422" s="274"/>
      <c r="FEX422" s="274"/>
      <c r="FEY422" s="274"/>
      <c r="FEZ422" s="274"/>
      <c r="FFA422" s="274"/>
      <c r="FFB422" s="274"/>
      <c r="FFC422" s="274"/>
      <c r="FFD422" s="274"/>
      <c r="FFE422" s="274"/>
      <c r="FFF422" s="274"/>
      <c r="FFG422" s="274"/>
      <c r="FFH422" s="274"/>
      <c r="FFI422" s="274"/>
      <c r="FFJ422" s="274"/>
      <c r="FFK422" s="274"/>
      <c r="FFL422" s="274"/>
      <c r="FFM422" s="274"/>
      <c r="FFN422" s="274"/>
      <c r="FFO422" s="274"/>
      <c r="FFP422" s="274"/>
      <c r="FFQ422" s="274"/>
      <c r="FFR422" s="274"/>
      <c r="FFS422" s="274"/>
      <c r="FFT422" s="274"/>
      <c r="FFU422" s="274"/>
      <c r="FFV422" s="274"/>
      <c r="FFW422" s="274"/>
      <c r="FFX422" s="274"/>
      <c r="FFY422" s="274"/>
      <c r="FFZ422" s="274"/>
      <c r="FGA422" s="274"/>
      <c r="FGB422" s="274"/>
      <c r="FGC422" s="274"/>
      <c r="FGD422" s="274"/>
      <c r="FGE422" s="274"/>
      <c r="FGF422" s="274"/>
      <c r="FGG422" s="274"/>
      <c r="FGH422" s="274"/>
      <c r="FGI422" s="274"/>
      <c r="FGJ422" s="274"/>
      <c r="FGK422" s="274"/>
      <c r="FGL422" s="274"/>
      <c r="FGM422" s="274"/>
      <c r="FGN422" s="274"/>
      <c r="FGO422" s="274"/>
      <c r="FGP422" s="274"/>
      <c r="FGQ422" s="274"/>
      <c r="FGR422" s="274"/>
      <c r="FGS422" s="274"/>
      <c r="FGT422" s="274"/>
      <c r="FGU422" s="274"/>
      <c r="FGV422" s="274"/>
      <c r="FGW422" s="274"/>
      <c r="FGX422" s="274"/>
      <c r="FGY422" s="274"/>
      <c r="FGZ422" s="274"/>
      <c r="FHA422" s="274"/>
      <c r="FHB422" s="274"/>
      <c r="FHC422" s="274"/>
      <c r="FHD422" s="274"/>
      <c r="FHE422" s="274"/>
      <c r="FHF422" s="274"/>
      <c r="FHG422" s="274"/>
      <c r="FHH422" s="274"/>
      <c r="FHI422" s="274"/>
      <c r="FHJ422" s="274"/>
      <c r="FHK422" s="274"/>
      <c r="FHL422" s="274"/>
      <c r="FHM422" s="274"/>
      <c r="FHN422" s="274"/>
      <c r="FHO422" s="274"/>
      <c r="FHP422" s="274"/>
      <c r="FHQ422" s="274"/>
      <c r="FHR422" s="274"/>
      <c r="FHS422" s="274"/>
      <c r="FHT422" s="274"/>
      <c r="FHU422" s="274"/>
      <c r="FHV422" s="274"/>
      <c r="FHW422" s="274"/>
      <c r="FHX422" s="274"/>
      <c r="FHY422" s="274"/>
      <c r="FHZ422" s="274"/>
      <c r="FIA422" s="274"/>
      <c r="FIB422" s="274"/>
      <c r="FIC422" s="274"/>
      <c r="FID422" s="274"/>
      <c r="FIE422" s="274"/>
      <c r="FIF422" s="274"/>
      <c r="FIG422" s="274"/>
      <c r="FIH422" s="274"/>
      <c r="FII422" s="274"/>
      <c r="FIJ422" s="274"/>
      <c r="FIK422" s="274"/>
      <c r="FIL422" s="274"/>
      <c r="FIM422" s="274"/>
      <c r="FIN422" s="274"/>
      <c r="FIO422" s="274"/>
      <c r="FIP422" s="274"/>
      <c r="FIQ422" s="274"/>
      <c r="FIR422" s="274"/>
      <c r="FIS422" s="274"/>
      <c r="FIT422" s="274"/>
      <c r="FIU422" s="274"/>
      <c r="FIV422" s="274"/>
      <c r="FIW422" s="274"/>
      <c r="FIX422" s="274"/>
      <c r="FIY422" s="274"/>
      <c r="FIZ422" s="274"/>
      <c r="FJA422" s="274"/>
      <c r="FJB422" s="274"/>
      <c r="FJC422" s="274"/>
      <c r="FJD422" s="274"/>
      <c r="FJE422" s="274"/>
      <c r="FJF422" s="274"/>
      <c r="FJG422" s="274"/>
      <c r="FJH422" s="274"/>
      <c r="FJI422" s="274"/>
      <c r="FJJ422" s="274"/>
      <c r="FJK422" s="274"/>
      <c r="FJL422" s="274"/>
      <c r="FJM422" s="274"/>
      <c r="FJN422" s="274"/>
      <c r="FJO422" s="274"/>
      <c r="FJP422" s="274"/>
      <c r="FJQ422" s="274"/>
      <c r="FJR422" s="274"/>
      <c r="FJS422" s="274"/>
      <c r="FJT422" s="274"/>
      <c r="FJU422" s="274"/>
      <c r="FJV422" s="274"/>
      <c r="FJW422" s="274"/>
      <c r="FJX422" s="274"/>
      <c r="FJY422" s="274"/>
      <c r="FJZ422" s="274"/>
      <c r="FKA422" s="274"/>
      <c r="FKB422" s="274"/>
      <c r="FKC422" s="274"/>
      <c r="FKD422" s="274"/>
      <c r="FKE422" s="274"/>
      <c r="FKF422" s="274"/>
      <c r="FKG422" s="274"/>
      <c r="FKH422" s="274"/>
      <c r="FKI422" s="274"/>
      <c r="FKJ422" s="274"/>
      <c r="FKK422" s="274"/>
      <c r="FKL422" s="274"/>
      <c r="FKM422" s="274"/>
      <c r="FKN422" s="274"/>
      <c r="FKO422" s="274"/>
      <c r="FKP422" s="274"/>
      <c r="FKQ422" s="274"/>
      <c r="FKR422" s="274"/>
      <c r="FKS422" s="274"/>
      <c r="FKT422" s="274"/>
      <c r="FKU422" s="274"/>
      <c r="FKV422" s="274"/>
      <c r="FKW422" s="274"/>
      <c r="FKX422" s="274"/>
      <c r="FKY422" s="274"/>
      <c r="FKZ422" s="274"/>
      <c r="FLA422" s="274"/>
      <c r="FLB422" s="274"/>
      <c r="FLC422" s="274"/>
      <c r="FLD422" s="274"/>
      <c r="FLE422" s="274"/>
      <c r="FLF422" s="274"/>
      <c r="FLG422" s="274"/>
      <c r="FLH422" s="274"/>
      <c r="FLI422" s="274"/>
      <c r="FLJ422" s="274"/>
      <c r="FLK422" s="274"/>
      <c r="FLL422" s="274"/>
      <c r="FLM422" s="274"/>
      <c r="FLN422" s="274"/>
      <c r="FLO422" s="274"/>
      <c r="FLP422" s="274"/>
      <c r="FLQ422" s="274"/>
      <c r="FLR422" s="274"/>
      <c r="FLS422" s="274"/>
      <c r="FLT422" s="274"/>
      <c r="FLU422" s="274"/>
      <c r="FLV422" s="274"/>
      <c r="FLW422" s="274"/>
      <c r="FLX422" s="274"/>
      <c r="FLY422" s="274"/>
      <c r="FLZ422" s="274"/>
      <c r="FMA422" s="274"/>
      <c r="FMB422" s="274"/>
      <c r="FMC422" s="274"/>
      <c r="FMD422" s="274"/>
      <c r="FME422" s="274"/>
      <c r="FMF422" s="274"/>
      <c r="FMG422" s="274"/>
      <c r="FMH422" s="274"/>
      <c r="FMI422" s="274"/>
      <c r="FMJ422" s="274"/>
      <c r="FMK422" s="274"/>
      <c r="FML422" s="274"/>
      <c r="FMM422" s="274"/>
      <c r="FMN422" s="274"/>
      <c r="FMO422" s="274"/>
      <c r="FMP422" s="274"/>
      <c r="FMQ422" s="274"/>
      <c r="FMR422" s="274"/>
      <c r="FMS422" s="274"/>
      <c r="FMT422" s="274"/>
      <c r="FMU422" s="274"/>
      <c r="FMV422" s="274"/>
      <c r="FMW422" s="274"/>
      <c r="FMX422" s="274"/>
      <c r="FMY422" s="274"/>
      <c r="FMZ422" s="274"/>
      <c r="FNA422" s="274"/>
      <c r="FNB422" s="274"/>
      <c r="FNC422" s="274"/>
      <c r="FND422" s="274"/>
      <c r="FNE422" s="274"/>
      <c r="FNF422" s="274"/>
      <c r="FNG422" s="274"/>
      <c r="FNH422" s="274"/>
      <c r="FNI422" s="274"/>
      <c r="FNJ422" s="274"/>
      <c r="FNK422" s="274"/>
      <c r="FNL422" s="274"/>
      <c r="FNM422" s="274"/>
      <c r="FNN422" s="274"/>
      <c r="FNO422" s="274"/>
      <c r="FNP422" s="274"/>
      <c r="FNQ422" s="274"/>
      <c r="FNR422" s="274"/>
      <c r="FNS422" s="274"/>
      <c r="FNT422" s="274"/>
      <c r="FNU422" s="274"/>
      <c r="FNV422" s="274"/>
      <c r="FNW422" s="274"/>
      <c r="FNX422" s="274"/>
      <c r="FNY422" s="274"/>
      <c r="FNZ422" s="274"/>
      <c r="FOA422" s="274"/>
      <c r="FOB422" s="274"/>
      <c r="FOC422" s="274"/>
      <c r="FOD422" s="274"/>
      <c r="FOE422" s="274"/>
      <c r="FOF422" s="274"/>
      <c r="FOG422" s="274"/>
      <c r="FOH422" s="274"/>
      <c r="FOI422" s="274"/>
      <c r="FOJ422" s="274"/>
      <c r="FOK422" s="274"/>
      <c r="FOL422" s="274"/>
      <c r="FOM422" s="274"/>
      <c r="FON422" s="274"/>
      <c r="FOO422" s="274"/>
      <c r="FOP422" s="274"/>
      <c r="FOQ422" s="274"/>
      <c r="FOR422" s="274"/>
      <c r="FOS422" s="274"/>
      <c r="FOT422" s="274"/>
      <c r="FOU422" s="274"/>
      <c r="FOV422" s="274"/>
      <c r="FOW422" s="274"/>
      <c r="FOX422" s="274"/>
      <c r="FOY422" s="274"/>
      <c r="FOZ422" s="274"/>
      <c r="FPA422" s="274"/>
      <c r="FPB422" s="274"/>
      <c r="FPC422" s="274"/>
      <c r="FPD422" s="274"/>
      <c r="FPE422" s="274"/>
      <c r="FPF422" s="274"/>
      <c r="FPG422" s="274"/>
      <c r="FPH422" s="274"/>
      <c r="FPI422" s="274"/>
      <c r="FPJ422" s="274"/>
      <c r="FPK422" s="274"/>
      <c r="FPL422" s="274"/>
      <c r="FPM422" s="274"/>
      <c r="FPN422" s="274"/>
      <c r="FPO422" s="274"/>
      <c r="FPP422" s="274"/>
      <c r="FPQ422" s="274"/>
      <c r="FPR422" s="274"/>
      <c r="FPS422" s="274"/>
      <c r="FPT422" s="274"/>
      <c r="FPU422" s="274"/>
      <c r="FPV422" s="274"/>
      <c r="FPW422" s="274"/>
      <c r="FPX422" s="274"/>
      <c r="FPY422" s="274"/>
      <c r="FPZ422" s="274"/>
      <c r="FQA422" s="274"/>
      <c r="FQB422" s="274"/>
      <c r="FQC422" s="274"/>
      <c r="FQD422" s="274"/>
      <c r="FQE422" s="274"/>
      <c r="FQF422" s="274"/>
      <c r="FQG422" s="274"/>
      <c r="FQH422" s="274"/>
      <c r="FQI422" s="274"/>
      <c r="FQJ422" s="274"/>
      <c r="FQK422" s="274"/>
      <c r="FQL422" s="274"/>
      <c r="FQM422" s="274"/>
      <c r="FQN422" s="274"/>
      <c r="FQO422" s="274"/>
      <c r="FQP422" s="274"/>
      <c r="FQQ422" s="274"/>
      <c r="FQR422" s="274"/>
      <c r="FQS422" s="274"/>
      <c r="FQT422" s="274"/>
      <c r="FQU422" s="274"/>
      <c r="FQV422" s="274"/>
      <c r="FQW422" s="274"/>
      <c r="FQX422" s="274"/>
      <c r="FQY422" s="274"/>
      <c r="FQZ422" s="274"/>
      <c r="FRA422" s="274"/>
      <c r="FRB422" s="274"/>
      <c r="FRC422" s="274"/>
      <c r="FRD422" s="274"/>
      <c r="FRE422" s="274"/>
      <c r="FRF422" s="274"/>
      <c r="FRG422" s="274"/>
      <c r="FRH422" s="274"/>
      <c r="FRI422" s="274"/>
      <c r="FRJ422" s="274"/>
      <c r="FRK422" s="274"/>
      <c r="FRL422" s="274"/>
      <c r="FRM422" s="274"/>
      <c r="FRN422" s="274"/>
      <c r="FRO422" s="274"/>
      <c r="FRP422" s="274"/>
      <c r="FRQ422" s="274"/>
      <c r="FRR422" s="274"/>
      <c r="FRS422" s="274"/>
      <c r="FRT422" s="274"/>
      <c r="FRU422" s="274"/>
      <c r="FRV422" s="274"/>
      <c r="FRW422" s="274"/>
      <c r="FRX422" s="274"/>
      <c r="FRY422" s="274"/>
      <c r="FRZ422" s="274"/>
      <c r="FSA422" s="274"/>
      <c r="FSB422" s="274"/>
      <c r="FSC422" s="274"/>
      <c r="FSD422" s="274"/>
      <c r="FSE422" s="274"/>
      <c r="FSF422" s="274"/>
      <c r="FSG422" s="274"/>
      <c r="FSH422" s="274"/>
      <c r="FSI422" s="274"/>
      <c r="FSJ422" s="274"/>
      <c r="FSK422" s="274"/>
      <c r="FSL422" s="274"/>
      <c r="FSM422" s="274"/>
      <c r="FSN422" s="274"/>
      <c r="FSO422" s="274"/>
      <c r="FSP422" s="274"/>
      <c r="FSQ422" s="274"/>
      <c r="FSR422" s="274"/>
      <c r="FSS422" s="274"/>
      <c r="FST422" s="274"/>
      <c r="FSU422" s="274"/>
      <c r="FSV422" s="274"/>
      <c r="FSW422" s="274"/>
      <c r="FSX422" s="274"/>
      <c r="FSY422" s="274"/>
      <c r="FSZ422" s="274"/>
      <c r="FTA422" s="274"/>
      <c r="FTB422" s="274"/>
      <c r="FTC422" s="274"/>
      <c r="FTD422" s="274"/>
      <c r="FTE422" s="274"/>
      <c r="FTF422" s="274"/>
      <c r="FTG422" s="274"/>
      <c r="FTH422" s="274"/>
      <c r="FTI422" s="274"/>
      <c r="FTJ422" s="274"/>
      <c r="FTK422" s="274"/>
      <c r="FTL422" s="274"/>
      <c r="FTM422" s="274"/>
      <c r="FTN422" s="274"/>
      <c r="FTO422" s="274"/>
      <c r="FTP422" s="274"/>
      <c r="FTQ422" s="274"/>
      <c r="FTR422" s="274"/>
      <c r="FTS422" s="274"/>
      <c r="FTT422" s="274"/>
      <c r="FTU422" s="274"/>
      <c r="FTV422" s="274"/>
      <c r="FTW422" s="274"/>
      <c r="FTX422" s="274"/>
      <c r="FTY422" s="274"/>
      <c r="FTZ422" s="274"/>
      <c r="FUA422" s="274"/>
      <c r="FUB422" s="274"/>
      <c r="FUC422" s="274"/>
      <c r="FUD422" s="274"/>
      <c r="FUE422" s="274"/>
      <c r="FUF422" s="274"/>
      <c r="FUG422" s="274"/>
      <c r="FUH422" s="274"/>
      <c r="FUI422" s="274"/>
      <c r="FUJ422" s="274"/>
      <c r="FUK422" s="274"/>
      <c r="FUL422" s="274"/>
      <c r="FUM422" s="274"/>
      <c r="FUN422" s="274"/>
      <c r="FUO422" s="274"/>
      <c r="FUP422" s="274"/>
      <c r="FUQ422" s="274"/>
      <c r="FUR422" s="274"/>
      <c r="FUS422" s="274"/>
      <c r="FUT422" s="274"/>
      <c r="FUU422" s="274"/>
      <c r="FUV422" s="274"/>
      <c r="FUW422" s="274"/>
      <c r="FUX422" s="274"/>
      <c r="FUY422" s="274"/>
      <c r="FUZ422" s="274"/>
      <c r="FVA422" s="274"/>
      <c r="FVB422" s="274"/>
      <c r="FVC422" s="274"/>
      <c r="FVD422" s="274"/>
      <c r="FVE422" s="274"/>
      <c r="FVF422" s="274"/>
      <c r="FVG422" s="274"/>
      <c r="FVH422" s="274"/>
      <c r="FVI422" s="274"/>
      <c r="FVJ422" s="274"/>
      <c r="FVK422" s="274"/>
      <c r="FVL422" s="274"/>
      <c r="FVM422" s="274"/>
      <c r="FVN422" s="274"/>
      <c r="FVO422" s="274"/>
      <c r="FVP422" s="274"/>
      <c r="FVQ422" s="274"/>
      <c r="FVR422" s="274"/>
      <c r="FVS422" s="274"/>
      <c r="FVT422" s="274"/>
      <c r="FVU422" s="274"/>
      <c r="FVV422" s="274"/>
      <c r="FVW422" s="274"/>
      <c r="FVX422" s="274"/>
      <c r="FVY422" s="274"/>
      <c r="FVZ422" s="274"/>
      <c r="FWA422" s="274"/>
      <c r="FWB422" s="274"/>
      <c r="FWC422" s="274"/>
      <c r="FWD422" s="274"/>
      <c r="FWE422" s="274"/>
      <c r="FWF422" s="274"/>
      <c r="FWG422" s="274"/>
      <c r="FWH422" s="274"/>
      <c r="FWI422" s="274"/>
      <c r="FWJ422" s="274"/>
      <c r="FWK422" s="274"/>
      <c r="FWL422" s="274"/>
      <c r="FWM422" s="274"/>
      <c r="FWN422" s="274"/>
      <c r="FWO422" s="274"/>
      <c r="FWP422" s="274"/>
      <c r="FWQ422" s="274"/>
      <c r="FWR422" s="274"/>
      <c r="FWS422" s="274"/>
      <c r="FWT422" s="274"/>
      <c r="FWU422" s="274"/>
      <c r="FWV422" s="274"/>
      <c r="FWW422" s="274"/>
      <c r="FWX422" s="274"/>
      <c r="FWY422" s="274"/>
      <c r="FWZ422" s="274"/>
      <c r="FXA422" s="274"/>
      <c r="FXB422" s="274"/>
      <c r="FXC422" s="274"/>
      <c r="FXD422" s="274"/>
      <c r="FXE422" s="274"/>
      <c r="FXF422" s="274"/>
      <c r="FXG422" s="274"/>
      <c r="FXH422" s="274"/>
      <c r="FXI422" s="274"/>
      <c r="FXJ422" s="274"/>
      <c r="FXK422" s="274"/>
      <c r="FXL422" s="274"/>
      <c r="FXM422" s="274"/>
      <c r="FXN422" s="274"/>
      <c r="FXO422" s="274"/>
      <c r="FXP422" s="274"/>
      <c r="FXQ422" s="274"/>
      <c r="FXR422" s="274"/>
      <c r="FXS422" s="274"/>
      <c r="FXT422" s="274"/>
      <c r="FXU422" s="274"/>
      <c r="FXV422" s="274"/>
      <c r="FXW422" s="274"/>
      <c r="FXX422" s="274"/>
      <c r="FXY422" s="274"/>
      <c r="FXZ422" s="274"/>
      <c r="FYA422" s="274"/>
      <c r="FYB422" s="274"/>
      <c r="FYC422" s="274"/>
      <c r="FYD422" s="274"/>
      <c r="FYE422" s="274"/>
      <c r="FYF422" s="274"/>
      <c r="FYG422" s="274"/>
      <c r="FYH422" s="274"/>
      <c r="FYI422" s="274"/>
      <c r="FYJ422" s="274"/>
      <c r="FYK422" s="274"/>
      <c r="FYL422" s="274"/>
      <c r="FYM422" s="274"/>
      <c r="FYN422" s="274"/>
      <c r="FYO422" s="274"/>
      <c r="FYP422" s="274"/>
      <c r="FYQ422" s="274"/>
      <c r="FYR422" s="274"/>
      <c r="FYS422" s="274"/>
      <c r="FYT422" s="274"/>
      <c r="FYU422" s="274"/>
      <c r="FYV422" s="274"/>
      <c r="FYW422" s="274"/>
      <c r="FYX422" s="274"/>
      <c r="FYY422" s="274"/>
      <c r="FYZ422" s="274"/>
      <c r="FZA422" s="274"/>
      <c r="FZB422" s="274"/>
      <c r="FZC422" s="274"/>
      <c r="FZD422" s="274"/>
      <c r="FZE422" s="274"/>
      <c r="FZF422" s="274"/>
      <c r="FZG422" s="274"/>
      <c r="FZH422" s="274"/>
      <c r="FZI422" s="274"/>
      <c r="FZJ422" s="274"/>
      <c r="FZK422" s="274"/>
      <c r="FZL422" s="274"/>
      <c r="FZM422" s="274"/>
      <c r="FZN422" s="274"/>
      <c r="FZO422" s="274"/>
      <c r="FZP422" s="274"/>
      <c r="FZQ422" s="274"/>
      <c r="FZR422" s="274"/>
      <c r="FZS422" s="274"/>
      <c r="FZT422" s="274"/>
      <c r="FZU422" s="274"/>
      <c r="FZV422" s="274"/>
      <c r="FZW422" s="274"/>
      <c r="FZX422" s="274"/>
      <c r="FZY422" s="274"/>
      <c r="FZZ422" s="274"/>
      <c r="GAA422" s="274"/>
      <c r="GAB422" s="274"/>
      <c r="GAC422" s="274"/>
      <c r="GAD422" s="274"/>
      <c r="GAE422" s="274"/>
      <c r="GAF422" s="274"/>
      <c r="GAG422" s="274"/>
      <c r="GAH422" s="274"/>
      <c r="GAI422" s="274"/>
      <c r="GAJ422" s="274"/>
      <c r="GAK422" s="274"/>
      <c r="GAL422" s="274"/>
      <c r="GAM422" s="274"/>
      <c r="GAN422" s="274"/>
      <c r="GAO422" s="274"/>
      <c r="GAP422" s="274"/>
      <c r="GAQ422" s="274"/>
      <c r="GAR422" s="274"/>
      <c r="GAS422" s="274"/>
      <c r="GAT422" s="274"/>
      <c r="GAU422" s="274"/>
      <c r="GAV422" s="274"/>
      <c r="GAW422" s="274"/>
      <c r="GAX422" s="274"/>
      <c r="GAY422" s="274"/>
      <c r="GAZ422" s="274"/>
      <c r="GBA422" s="274"/>
      <c r="GBB422" s="274"/>
      <c r="GBC422" s="274"/>
      <c r="GBD422" s="274"/>
      <c r="GBE422" s="274"/>
      <c r="GBF422" s="274"/>
      <c r="GBG422" s="274"/>
      <c r="GBH422" s="274"/>
      <c r="GBI422" s="274"/>
      <c r="GBJ422" s="274"/>
      <c r="GBK422" s="274"/>
      <c r="GBL422" s="274"/>
      <c r="GBM422" s="274"/>
      <c r="GBN422" s="274"/>
      <c r="GBO422" s="274"/>
      <c r="GBP422" s="274"/>
      <c r="GBQ422" s="274"/>
      <c r="GBR422" s="274"/>
      <c r="GBS422" s="274"/>
      <c r="GBT422" s="274"/>
      <c r="GBU422" s="274"/>
      <c r="GBV422" s="274"/>
      <c r="GBW422" s="274"/>
      <c r="GBX422" s="274"/>
      <c r="GBY422" s="274"/>
      <c r="GBZ422" s="274"/>
      <c r="GCA422" s="274"/>
      <c r="GCB422" s="274"/>
      <c r="GCC422" s="274"/>
      <c r="GCD422" s="274"/>
      <c r="GCE422" s="274"/>
      <c r="GCF422" s="274"/>
      <c r="GCG422" s="274"/>
      <c r="GCH422" s="274"/>
      <c r="GCI422" s="274"/>
      <c r="GCJ422" s="274"/>
      <c r="GCK422" s="274"/>
      <c r="GCL422" s="274"/>
      <c r="GCM422" s="274"/>
      <c r="GCN422" s="274"/>
      <c r="GCO422" s="274"/>
      <c r="GCP422" s="274"/>
      <c r="GCQ422" s="274"/>
      <c r="GCR422" s="274"/>
      <c r="GCS422" s="274"/>
      <c r="GCT422" s="274"/>
      <c r="GCU422" s="274"/>
      <c r="GCV422" s="274"/>
      <c r="GCW422" s="274"/>
      <c r="GCX422" s="274"/>
      <c r="GCY422" s="274"/>
      <c r="GCZ422" s="274"/>
      <c r="GDA422" s="274"/>
      <c r="GDB422" s="274"/>
      <c r="GDC422" s="274"/>
      <c r="GDD422" s="274"/>
      <c r="GDE422" s="274"/>
      <c r="GDF422" s="274"/>
      <c r="GDG422" s="274"/>
      <c r="GDH422" s="274"/>
      <c r="GDI422" s="274"/>
      <c r="GDJ422" s="274"/>
      <c r="GDK422" s="274"/>
      <c r="GDL422" s="274"/>
      <c r="GDM422" s="274"/>
      <c r="GDN422" s="274"/>
      <c r="GDO422" s="274"/>
      <c r="GDP422" s="274"/>
      <c r="GDQ422" s="274"/>
      <c r="GDR422" s="274"/>
      <c r="GDS422" s="274"/>
      <c r="GDT422" s="274"/>
      <c r="GDU422" s="274"/>
      <c r="GDV422" s="274"/>
      <c r="GDW422" s="274"/>
      <c r="GDX422" s="274"/>
      <c r="GDY422" s="274"/>
      <c r="GDZ422" s="274"/>
      <c r="GEA422" s="274"/>
      <c r="GEB422" s="274"/>
      <c r="GEC422" s="274"/>
      <c r="GED422" s="274"/>
      <c r="GEE422" s="274"/>
      <c r="GEF422" s="274"/>
      <c r="GEG422" s="274"/>
      <c r="GEH422" s="274"/>
      <c r="GEI422" s="274"/>
      <c r="GEJ422" s="274"/>
      <c r="GEK422" s="274"/>
      <c r="GEL422" s="274"/>
      <c r="GEM422" s="274"/>
      <c r="GEN422" s="274"/>
      <c r="GEO422" s="274"/>
      <c r="GEP422" s="274"/>
      <c r="GEQ422" s="274"/>
      <c r="GER422" s="274"/>
      <c r="GES422" s="274"/>
      <c r="GET422" s="274"/>
      <c r="GEU422" s="274"/>
      <c r="GEV422" s="274"/>
      <c r="GEW422" s="274"/>
      <c r="GEX422" s="274"/>
      <c r="GEY422" s="274"/>
      <c r="GEZ422" s="274"/>
      <c r="GFA422" s="274"/>
      <c r="GFB422" s="274"/>
      <c r="GFC422" s="274"/>
      <c r="GFD422" s="274"/>
      <c r="GFE422" s="274"/>
      <c r="GFF422" s="274"/>
      <c r="GFG422" s="274"/>
      <c r="GFH422" s="274"/>
      <c r="GFI422" s="274"/>
      <c r="GFJ422" s="274"/>
      <c r="GFK422" s="274"/>
      <c r="GFL422" s="274"/>
      <c r="GFM422" s="274"/>
      <c r="GFN422" s="274"/>
      <c r="GFO422" s="274"/>
      <c r="GFP422" s="274"/>
      <c r="GFQ422" s="274"/>
      <c r="GFR422" s="274"/>
      <c r="GFS422" s="274"/>
      <c r="GFT422" s="274"/>
      <c r="GFU422" s="274"/>
      <c r="GFV422" s="274"/>
      <c r="GFW422" s="274"/>
      <c r="GFX422" s="274"/>
      <c r="GFY422" s="274"/>
      <c r="GFZ422" s="274"/>
      <c r="GGA422" s="274"/>
      <c r="GGB422" s="274"/>
      <c r="GGC422" s="274"/>
      <c r="GGD422" s="274"/>
      <c r="GGE422" s="274"/>
      <c r="GGF422" s="274"/>
      <c r="GGG422" s="274"/>
      <c r="GGH422" s="274"/>
      <c r="GGI422" s="274"/>
      <c r="GGJ422" s="274"/>
      <c r="GGK422" s="274"/>
      <c r="GGL422" s="274"/>
      <c r="GGM422" s="274"/>
      <c r="GGN422" s="274"/>
      <c r="GGO422" s="274"/>
      <c r="GGP422" s="274"/>
      <c r="GGQ422" s="274"/>
      <c r="GGR422" s="274"/>
      <c r="GGS422" s="274"/>
      <c r="GGT422" s="274"/>
      <c r="GGU422" s="274"/>
      <c r="GGV422" s="274"/>
      <c r="GGW422" s="274"/>
      <c r="GGX422" s="274"/>
      <c r="GGY422" s="274"/>
      <c r="GGZ422" s="274"/>
      <c r="GHA422" s="274"/>
      <c r="GHB422" s="274"/>
      <c r="GHC422" s="274"/>
      <c r="GHD422" s="274"/>
      <c r="GHE422" s="274"/>
      <c r="GHF422" s="274"/>
      <c r="GHG422" s="274"/>
      <c r="GHH422" s="274"/>
      <c r="GHI422" s="274"/>
      <c r="GHJ422" s="274"/>
      <c r="GHK422" s="274"/>
      <c r="GHL422" s="274"/>
      <c r="GHM422" s="274"/>
      <c r="GHN422" s="274"/>
      <c r="GHO422" s="274"/>
      <c r="GHP422" s="274"/>
      <c r="GHQ422" s="274"/>
      <c r="GHR422" s="274"/>
      <c r="GHS422" s="274"/>
      <c r="GHT422" s="274"/>
      <c r="GHU422" s="274"/>
      <c r="GHV422" s="274"/>
      <c r="GHW422" s="274"/>
      <c r="GHX422" s="274"/>
      <c r="GHY422" s="274"/>
      <c r="GHZ422" s="274"/>
      <c r="GIA422" s="274"/>
      <c r="GIB422" s="274"/>
      <c r="GIC422" s="274"/>
      <c r="GID422" s="274"/>
      <c r="GIE422" s="274"/>
      <c r="GIF422" s="274"/>
      <c r="GIG422" s="274"/>
      <c r="GIH422" s="274"/>
      <c r="GII422" s="274"/>
      <c r="GIJ422" s="274"/>
      <c r="GIK422" s="274"/>
      <c r="GIL422" s="274"/>
      <c r="GIM422" s="274"/>
      <c r="GIN422" s="274"/>
      <c r="GIO422" s="274"/>
      <c r="GIP422" s="274"/>
      <c r="GIQ422" s="274"/>
      <c r="GIR422" s="274"/>
      <c r="GIS422" s="274"/>
      <c r="GIT422" s="274"/>
      <c r="GIU422" s="274"/>
      <c r="GIV422" s="274"/>
      <c r="GIW422" s="274"/>
      <c r="GIX422" s="274"/>
      <c r="GIY422" s="274"/>
      <c r="GIZ422" s="274"/>
      <c r="GJA422" s="274"/>
      <c r="GJB422" s="274"/>
      <c r="GJC422" s="274"/>
      <c r="GJD422" s="274"/>
      <c r="GJE422" s="274"/>
      <c r="GJF422" s="274"/>
      <c r="GJG422" s="274"/>
      <c r="GJH422" s="274"/>
      <c r="GJI422" s="274"/>
      <c r="GJJ422" s="274"/>
      <c r="GJK422" s="274"/>
      <c r="GJL422" s="274"/>
      <c r="GJM422" s="274"/>
      <c r="GJN422" s="274"/>
      <c r="GJO422" s="274"/>
      <c r="GJP422" s="274"/>
      <c r="GJQ422" s="274"/>
      <c r="GJR422" s="274"/>
      <c r="GJS422" s="274"/>
      <c r="GJT422" s="274"/>
      <c r="GJU422" s="274"/>
      <c r="GJV422" s="274"/>
      <c r="GJW422" s="274"/>
      <c r="GJX422" s="274"/>
      <c r="GJY422" s="274"/>
      <c r="GJZ422" s="274"/>
      <c r="GKA422" s="274"/>
      <c r="GKB422" s="274"/>
      <c r="GKC422" s="274"/>
      <c r="GKD422" s="274"/>
      <c r="GKE422" s="274"/>
      <c r="GKF422" s="274"/>
      <c r="GKG422" s="274"/>
      <c r="GKH422" s="274"/>
      <c r="GKI422" s="274"/>
      <c r="GKJ422" s="274"/>
      <c r="GKK422" s="274"/>
      <c r="GKL422" s="274"/>
      <c r="GKM422" s="274"/>
      <c r="GKN422" s="274"/>
      <c r="GKO422" s="274"/>
      <c r="GKP422" s="274"/>
      <c r="GKQ422" s="274"/>
      <c r="GKR422" s="274"/>
      <c r="GKS422" s="274"/>
      <c r="GKT422" s="274"/>
      <c r="GKU422" s="274"/>
      <c r="GKV422" s="274"/>
      <c r="GKW422" s="274"/>
      <c r="GKX422" s="274"/>
      <c r="GKY422" s="274"/>
      <c r="GKZ422" s="274"/>
      <c r="GLA422" s="274"/>
      <c r="GLB422" s="274"/>
      <c r="GLC422" s="274"/>
      <c r="GLD422" s="274"/>
      <c r="GLE422" s="274"/>
      <c r="GLF422" s="274"/>
      <c r="GLG422" s="274"/>
      <c r="GLH422" s="274"/>
      <c r="GLI422" s="274"/>
      <c r="GLJ422" s="274"/>
      <c r="GLK422" s="274"/>
      <c r="GLL422" s="274"/>
      <c r="GLM422" s="274"/>
      <c r="GLN422" s="274"/>
      <c r="GLO422" s="274"/>
      <c r="GLP422" s="274"/>
      <c r="GLQ422" s="274"/>
      <c r="GLR422" s="274"/>
      <c r="GLS422" s="274"/>
      <c r="GLT422" s="274"/>
      <c r="GLU422" s="274"/>
      <c r="GLV422" s="274"/>
      <c r="GLW422" s="274"/>
      <c r="GLX422" s="274"/>
      <c r="GLY422" s="274"/>
      <c r="GLZ422" s="274"/>
      <c r="GMA422" s="274"/>
      <c r="GMB422" s="274"/>
      <c r="GMC422" s="274"/>
      <c r="GMD422" s="274"/>
      <c r="GME422" s="274"/>
      <c r="GMF422" s="274"/>
      <c r="GMG422" s="274"/>
      <c r="GMH422" s="274"/>
      <c r="GMI422" s="274"/>
      <c r="GMJ422" s="274"/>
      <c r="GMK422" s="274"/>
      <c r="GML422" s="274"/>
      <c r="GMM422" s="274"/>
      <c r="GMN422" s="274"/>
      <c r="GMO422" s="274"/>
      <c r="GMP422" s="274"/>
      <c r="GMQ422" s="274"/>
      <c r="GMR422" s="274"/>
      <c r="GMS422" s="274"/>
      <c r="GMT422" s="274"/>
      <c r="GMU422" s="274"/>
      <c r="GMV422" s="274"/>
      <c r="GMW422" s="274"/>
      <c r="GMX422" s="274"/>
      <c r="GMY422" s="274"/>
      <c r="GMZ422" s="274"/>
      <c r="GNA422" s="274"/>
      <c r="GNB422" s="274"/>
      <c r="GNC422" s="274"/>
      <c r="GND422" s="274"/>
      <c r="GNE422" s="274"/>
      <c r="GNF422" s="274"/>
      <c r="GNG422" s="274"/>
      <c r="GNH422" s="274"/>
      <c r="GNI422" s="274"/>
      <c r="GNJ422" s="274"/>
      <c r="GNK422" s="274"/>
      <c r="GNL422" s="274"/>
      <c r="GNM422" s="274"/>
      <c r="GNN422" s="274"/>
      <c r="GNO422" s="274"/>
      <c r="GNP422" s="274"/>
      <c r="GNQ422" s="274"/>
      <c r="GNR422" s="274"/>
      <c r="GNS422" s="274"/>
      <c r="GNT422" s="274"/>
      <c r="GNU422" s="274"/>
      <c r="GNV422" s="274"/>
      <c r="GNW422" s="274"/>
      <c r="GNX422" s="274"/>
      <c r="GNY422" s="274"/>
      <c r="GNZ422" s="274"/>
      <c r="GOA422" s="274"/>
      <c r="GOB422" s="274"/>
      <c r="GOC422" s="274"/>
      <c r="GOD422" s="274"/>
      <c r="GOE422" s="274"/>
      <c r="GOF422" s="274"/>
      <c r="GOG422" s="274"/>
      <c r="GOH422" s="274"/>
      <c r="GOI422" s="274"/>
      <c r="GOJ422" s="274"/>
      <c r="GOK422" s="274"/>
      <c r="GOL422" s="274"/>
      <c r="GOM422" s="274"/>
      <c r="GON422" s="274"/>
      <c r="GOO422" s="274"/>
      <c r="GOP422" s="274"/>
      <c r="GOQ422" s="274"/>
      <c r="GOR422" s="274"/>
      <c r="GOS422" s="274"/>
      <c r="GOT422" s="274"/>
      <c r="GOU422" s="274"/>
      <c r="GOV422" s="274"/>
      <c r="GOW422" s="274"/>
      <c r="GOX422" s="274"/>
      <c r="GOY422" s="274"/>
      <c r="GOZ422" s="274"/>
      <c r="GPA422" s="274"/>
      <c r="GPB422" s="274"/>
      <c r="GPC422" s="274"/>
      <c r="GPD422" s="274"/>
      <c r="GPE422" s="274"/>
      <c r="GPF422" s="274"/>
      <c r="GPG422" s="274"/>
      <c r="GPH422" s="274"/>
      <c r="GPI422" s="274"/>
      <c r="GPJ422" s="274"/>
      <c r="GPK422" s="274"/>
      <c r="GPL422" s="274"/>
      <c r="GPM422" s="274"/>
      <c r="GPN422" s="274"/>
      <c r="GPO422" s="274"/>
      <c r="GPP422" s="274"/>
      <c r="GPQ422" s="274"/>
      <c r="GPR422" s="274"/>
      <c r="GPS422" s="274"/>
      <c r="GPT422" s="274"/>
      <c r="GPU422" s="274"/>
      <c r="GPV422" s="274"/>
      <c r="GPW422" s="274"/>
      <c r="GPX422" s="274"/>
      <c r="GPY422" s="274"/>
      <c r="GPZ422" s="274"/>
      <c r="GQA422" s="274"/>
      <c r="GQB422" s="274"/>
      <c r="GQC422" s="274"/>
      <c r="GQD422" s="274"/>
      <c r="GQE422" s="274"/>
      <c r="GQF422" s="274"/>
      <c r="GQG422" s="274"/>
      <c r="GQH422" s="274"/>
      <c r="GQI422" s="274"/>
      <c r="GQJ422" s="274"/>
      <c r="GQK422" s="274"/>
      <c r="GQL422" s="274"/>
      <c r="GQM422" s="274"/>
      <c r="GQN422" s="274"/>
      <c r="GQO422" s="274"/>
      <c r="GQP422" s="274"/>
      <c r="GQQ422" s="274"/>
      <c r="GQR422" s="274"/>
      <c r="GQS422" s="274"/>
      <c r="GQT422" s="274"/>
      <c r="GQU422" s="274"/>
      <c r="GQV422" s="274"/>
      <c r="GQW422" s="274"/>
      <c r="GQX422" s="274"/>
      <c r="GQY422" s="274"/>
      <c r="GQZ422" s="274"/>
      <c r="GRA422" s="274"/>
      <c r="GRB422" s="274"/>
      <c r="GRC422" s="274"/>
      <c r="GRD422" s="274"/>
      <c r="GRE422" s="274"/>
      <c r="GRF422" s="274"/>
      <c r="GRG422" s="274"/>
      <c r="GRH422" s="274"/>
      <c r="GRI422" s="274"/>
      <c r="GRJ422" s="274"/>
      <c r="GRK422" s="274"/>
      <c r="GRL422" s="274"/>
      <c r="GRM422" s="274"/>
      <c r="GRN422" s="274"/>
      <c r="GRO422" s="274"/>
      <c r="GRP422" s="274"/>
      <c r="GRQ422" s="274"/>
      <c r="GRR422" s="274"/>
      <c r="GRS422" s="274"/>
      <c r="GRT422" s="274"/>
      <c r="GRU422" s="274"/>
      <c r="GRV422" s="274"/>
      <c r="GRW422" s="274"/>
      <c r="GRX422" s="274"/>
      <c r="GRY422" s="274"/>
      <c r="GRZ422" s="274"/>
      <c r="GSA422" s="274"/>
      <c r="GSB422" s="274"/>
      <c r="GSC422" s="274"/>
      <c r="GSD422" s="274"/>
      <c r="GSE422" s="274"/>
      <c r="GSF422" s="274"/>
      <c r="GSG422" s="274"/>
      <c r="GSH422" s="274"/>
      <c r="GSI422" s="274"/>
      <c r="GSJ422" s="274"/>
      <c r="GSK422" s="274"/>
      <c r="GSL422" s="274"/>
      <c r="GSM422" s="274"/>
      <c r="GSN422" s="274"/>
      <c r="GSO422" s="274"/>
      <c r="GSP422" s="274"/>
      <c r="GSQ422" s="274"/>
      <c r="GSR422" s="274"/>
      <c r="GSS422" s="274"/>
      <c r="GST422" s="274"/>
      <c r="GSU422" s="274"/>
      <c r="GSV422" s="274"/>
      <c r="GSW422" s="274"/>
      <c r="GSX422" s="274"/>
      <c r="GSY422" s="274"/>
      <c r="GSZ422" s="274"/>
      <c r="GTA422" s="274"/>
      <c r="GTB422" s="274"/>
      <c r="GTC422" s="274"/>
      <c r="GTD422" s="274"/>
      <c r="GTE422" s="274"/>
      <c r="GTF422" s="274"/>
      <c r="GTG422" s="274"/>
      <c r="GTH422" s="274"/>
      <c r="GTI422" s="274"/>
      <c r="GTJ422" s="274"/>
      <c r="GTK422" s="274"/>
      <c r="GTL422" s="274"/>
      <c r="GTM422" s="274"/>
      <c r="GTN422" s="274"/>
      <c r="GTO422" s="274"/>
      <c r="GTP422" s="274"/>
      <c r="GTQ422" s="274"/>
      <c r="GTR422" s="274"/>
      <c r="GTS422" s="274"/>
      <c r="GTT422" s="274"/>
      <c r="GTU422" s="274"/>
      <c r="GTV422" s="274"/>
      <c r="GTW422" s="274"/>
      <c r="GTX422" s="274"/>
      <c r="GTY422" s="274"/>
      <c r="GTZ422" s="274"/>
      <c r="GUA422" s="274"/>
      <c r="GUB422" s="274"/>
      <c r="GUC422" s="274"/>
      <c r="GUD422" s="274"/>
      <c r="GUE422" s="274"/>
      <c r="GUF422" s="274"/>
      <c r="GUG422" s="274"/>
      <c r="GUH422" s="274"/>
      <c r="GUI422" s="274"/>
      <c r="GUJ422" s="274"/>
      <c r="GUK422" s="274"/>
      <c r="GUL422" s="274"/>
      <c r="GUM422" s="274"/>
      <c r="GUN422" s="274"/>
      <c r="GUO422" s="274"/>
      <c r="GUP422" s="274"/>
      <c r="GUQ422" s="274"/>
      <c r="GUR422" s="274"/>
      <c r="GUS422" s="274"/>
      <c r="GUT422" s="274"/>
      <c r="GUU422" s="274"/>
      <c r="GUV422" s="274"/>
      <c r="GUW422" s="274"/>
      <c r="GUX422" s="274"/>
      <c r="GUY422" s="274"/>
      <c r="GUZ422" s="274"/>
      <c r="GVA422" s="274"/>
      <c r="GVB422" s="274"/>
      <c r="GVC422" s="274"/>
      <c r="GVD422" s="274"/>
      <c r="GVE422" s="274"/>
      <c r="GVF422" s="274"/>
      <c r="GVG422" s="274"/>
      <c r="GVH422" s="274"/>
      <c r="GVI422" s="274"/>
      <c r="GVJ422" s="274"/>
      <c r="GVK422" s="274"/>
      <c r="GVL422" s="274"/>
      <c r="GVM422" s="274"/>
      <c r="GVN422" s="274"/>
      <c r="GVO422" s="274"/>
      <c r="GVP422" s="274"/>
      <c r="GVQ422" s="274"/>
      <c r="GVR422" s="274"/>
      <c r="GVS422" s="274"/>
      <c r="GVT422" s="274"/>
      <c r="GVU422" s="274"/>
      <c r="GVV422" s="274"/>
      <c r="GVW422" s="274"/>
      <c r="GVX422" s="274"/>
      <c r="GVY422" s="274"/>
      <c r="GVZ422" s="274"/>
      <c r="GWA422" s="274"/>
      <c r="GWB422" s="274"/>
      <c r="GWC422" s="274"/>
      <c r="GWD422" s="274"/>
      <c r="GWE422" s="274"/>
      <c r="GWF422" s="274"/>
      <c r="GWG422" s="274"/>
      <c r="GWH422" s="274"/>
      <c r="GWI422" s="274"/>
      <c r="GWJ422" s="274"/>
      <c r="GWK422" s="274"/>
      <c r="GWL422" s="274"/>
      <c r="GWM422" s="274"/>
      <c r="GWN422" s="274"/>
      <c r="GWO422" s="274"/>
      <c r="GWP422" s="274"/>
      <c r="GWQ422" s="274"/>
      <c r="GWR422" s="274"/>
      <c r="GWS422" s="274"/>
      <c r="GWT422" s="274"/>
      <c r="GWU422" s="274"/>
      <c r="GWV422" s="274"/>
      <c r="GWW422" s="274"/>
      <c r="GWX422" s="274"/>
      <c r="GWY422" s="274"/>
      <c r="GWZ422" s="274"/>
      <c r="GXA422" s="274"/>
      <c r="GXB422" s="274"/>
      <c r="GXC422" s="274"/>
      <c r="GXD422" s="274"/>
      <c r="GXE422" s="274"/>
      <c r="GXF422" s="274"/>
      <c r="GXG422" s="274"/>
      <c r="GXH422" s="274"/>
      <c r="GXI422" s="274"/>
      <c r="GXJ422" s="274"/>
      <c r="GXK422" s="274"/>
      <c r="GXL422" s="274"/>
      <c r="GXM422" s="274"/>
      <c r="GXN422" s="274"/>
      <c r="GXO422" s="274"/>
      <c r="GXP422" s="274"/>
      <c r="GXQ422" s="274"/>
      <c r="GXR422" s="274"/>
      <c r="GXS422" s="274"/>
      <c r="GXT422" s="274"/>
      <c r="GXU422" s="274"/>
      <c r="GXV422" s="274"/>
      <c r="GXW422" s="274"/>
      <c r="GXX422" s="274"/>
      <c r="GXY422" s="274"/>
      <c r="GXZ422" s="274"/>
      <c r="GYA422" s="274"/>
      <c r="GYB422" s="274"/>
      <c r="GYC422" s="274"/>
      <c r="GYD422" s="274"/>
      <c r="GYE422" s="274"/>
      <c r="GYF422" s="274"/>
      <c r="GYG422" s="274"/>
      <c r="GYH422" s="274"/>
      <c r="GYI422" s="274"/>
      <c r="GYJ422" s="274"/>
      <c r="GYK422" s="274"/>
      <c r="GYL422" s="274"/>
      <c r="GYM422" s="274"/>
      <c r="GYN422" s="274"/>
      <c r="GYO422" s="274"/>
      <c r="GYP422" s="274"/>
      <c r="GYQ422" s="274"/>
      <c r="GYR422" s="274"/>
      <c r="GYS422" s="274"/>
      <c r="GYT422" s="274"/>
      <c r="GYU422" s="274"/>
      <c r="GYV422" s="274"/>
      <c r="GYW422" s="274"/>
      <c r="GYX422" s="274"/>
      <c r="GYY422" s="274"/>
      <c r="GYZ422" s="274"/>
      <c r="GZA422" s="274"/>
      <c r="GZB422" s="274"/>
      <c r="GZC422" s="274"/>
      <c r="GZD422" s="274"/>
      <c r="GZE422" s="274"/>
      <c r="GZF422" s="274"/>
      <c r="GZG422" s="274"/>
      <c r="GZH422" s="274"/>
      <c r="GZI422" s="274"/>
      <c r="GZJ422" s="274"/>
      <c r="GZK422" s="274"/>
      <c r="GZL422" s="274"/>
      <c r="GZM422" s="274"/>
      <c r="GZN422" s="274"/>
      <c r="GZO422" s="274"/>
      <c r="GZP422" s="274"/>
      <c r="GZQ422" s="274"/>
      <c r="GZR422" s="274"/>
      <c r="GZS422" s="274"/>
      <c r="GZT422" s="274"/>
      <c r="GZU422" s="274"/>
      <c r="GZV422" s="274"/>
      <c r="GZW422" s="274"/>
      <c r="GZX422" s="274"/>
      <c r="GZY422" s="274"/>
      <c r="GZZ422" s="274"/>
      <c r="HAA422" s="274"/>
      <c r="HAB422" s="274"/>
      <c r="HAC422" s="274"/>
      <c r="HAD422" s="274"/>
      <c r="HAE422" s="274"/>
      <c r="HAF422" s="274"/>
      <c r="HAG422" s="274"/>
      <c r="HAH422" s="274"/>
      <c r="HAI422" s="274"/>
      <c r="HAJ422" s="274"/>
      <c r="HAK422" s="274"/>
      <c r="HAL422" s="274"/>
      <c r="HAM422" s="274"/>
      <c r="HAN422" s="274"/>
      <c r="HAO422" s="274"/>
      <c r="HAP422" s="274"/>
      <c r="HAQ422" s="274"/>
      <c r="HAR422" s="274"/>
      <c r="HAS422" s="274"/>
      <c r="HAT422" s="274"/>
      <c r="HAU422" s="274"/>
      <c r="HAV422" s="274"/>
      <c r="HAW422" s="274"/>
      <c r="HAX422" s="274"/>
      <c r="HAY422" s="274"/>
      <c r="HAZ422" s="274"/>
      <c r="HBA422" s="274"/>
      <c r="HBB422" s="274"/>
      <c r="HBC422" s="274"/>
      <c r="HBD422" s="274"/>
      <c r="HBE422" s="274"/>
      <c r="HBF422" s="274"/>
      <c r="HBG422" s="274"/>
      <c r="HBH422" s="274"/>
      <c r="HBI422" s="274"/>
      <c r="HBJ422" s="274"/>
      <c r="HBK422" s="274"/>
      <c r="HBL422" s="274"/>
      <c r="HBM422" s="274"/>
      <c r="HBN422" s="274"/>
      <c r="HBO422" s="274"/>
      <c r="HBP422" s="274"/>
      <c r="HBQ422" s="274"/>
      <c r="HBR422" s="274"/>
      <c r="HBS422" s="274"/>
      <c r="HBT422" s="274"/>
      <c r="HBU422" s="274"/>
      <c r="HBV422" s="274"/>
      <c r="HBW422" s="274"/>
      <c r="HBX422" s="274"/>
      <c r="HBY422" s="274"/>
      <c r="HBZ422" s="274"/>
      <c r="HCA422" s="274"/>
      <c r="HCB422" s="274"/>
      <c r="HCC422" s="274"/>
      <c r="HCD422" s="274"/>
      <c r="HCE422" s="274"/>
      <c r="HCF422" s="274"/>
      <c r="HCG422" s="274"/>
      <c r="HCH422" s="274"/>
      <c r="HCI422" s="274"/>
      <c r="HCJ422" s="274"/>
      <c r="HCK422" s="274"/>
      <c r="HCL422" s="274"/>
      <c r="HCM422" s="274"/>
      <c r="HCN422" s="274"/>
      <c r="HCO422" s="274"/>
      <c r="HCP422" s="274"/>
      <c r="HCQ422" s="274"/>
      <c r="HCR422" s="274"/>
      <c r="HCS422" s="274"/>
      <c r="HCT422" s="274"/>
      <c r="HCU422" s="274"/>
      <c r="HCV422" s="274"/>
      <c r="HCW422" s="274"/>
      <c r="HCX422" s="274"/>
      <c r="HCY422" s="274"/>
      <c r="HCZ422" s="274"/>
      <c r="HDA422" s="274"/>
      <c r="HDB422" s="274"/>
      <c r="HDC422" s="274"/>
      <c r="HDD422" s="274"/>
      <c r="HDE422" s="274"/>
      <c r="HDF422" s="274"/>
      <c r="HDG422" s="274"/>
      <c r="HDH422" s="274"/>
      <c r="HDI422" s="274"/>
      <c r="HDJ422" s="274"/>
      <c r="HDK422" s="274"/>
      <c r="HDL422" s="274"/>
      <c r="HDM422" s="274"/>
      <c r="HDN422" s="274"/>
      <c r="HDO422" s="274"/>
      <c r="HDP422" s="274"/>
      <c r="HDQ422" s="274"/>
      <c r="HDR422" s="274"/>
      <c r="HDS422" s="274"/>
      <c r="HDT422" s="274"/>
      <c r="HDU422" s="274"/>
      <c r="HDV422" s="274"/>
      <c r="HDW422" s="274"/>
      <c r="HDX422" s="274"/>
      <c r="HDY422" s="274"/>
      <c r="HDZ422" s="274"/>
      <c r="HEA422" s="274"/>
      <c r="HEB422" s="274"/>
      <c r="HEC422" s="274"/>
      <c r="HED422" s="274"/>
      <c r="HEE422" s="274"/>
      <c r="HEF422" s="274"/>
      <c r="HEG422" s="274"/>
      <c r="HEH422" s="274"/>
      <c r="HEI422" s="274"/>
      <c r="HEJ422" s="274"/>
      <c r="HEK422" s="274"/>
      <c r="HEL422" s="274"/>
      <c r="HEM422" s="274"/>
      <c r="HEN422" s="274"/>
      <c r="HEO422" s="274"/>
      <c r="HEP422" s="274"/>
      <c r="HEQ422" s="274"/>
      <c r="HER422" s="274"/>
      <c r="HES422" s="274"/>
      <c r="HET422" s="274"/>
      <c r="HEU422" s="274"/>
      <c r="HEV422" s="274"/>
      <c r="HEW422" s="274"/>
      <c r="HEX422" s="274"/>
      <c r="HEY422" s="274"/>
      <c r="HEZ422" s="274"/>
      <c r="HFA422" s="274"/>
      <c r="HFB422" s="274"/>
      <c r="HFC422" s="274"/>
      <c r="HFD422" s="274"/>
      <c r="HFE422" s="274"/>
      <c r="HFF422" s="274"/>
      <c r="HFG422" s="274"/>
      <c r="HFH422" s="274"/>
      <c r="HFI422" s="274"/>
      <c r="HFJ422" s="274"/>
      <c r="HFK422" s="274"/>
      <c r="HFL422" s="274"/>
      <c r="HFM422" s="274"/>
      <c r="HFN422" s="274"/>
      <c r="HFO422" s="274"/>
      <c r="HFP422" s="274"/>
      <c r="HFQ422" s="274"/>
      <c r="HFR422" s="274"/>
      <c r="HFS422" s="274"/>
      <c r="HFT422" s="274"/>
      <c r="HFU422" s="274"/>
      <c r="HFV422" s="274"/>
      <c r="HFW422" s="274"/>
      <c r="HFX422" s="274"/>
      <c r="HFY422" s="274"/>
      <c r="HFZ422" s="274"/>
      <c r="HGA422" s="274"/>
      <c r="HGB422" s="274"/>
      <c r="HGC422" s="274"/>
      <c r="HGD422" s="274"/>
      <c r="HGE422" s="274"/>
      <c r="HGF422" s="274"/>
      <c r="HGG422" s="274"/>
      <c r="HGH422" s="274"/>
      <c r="HGI422" s="274"/>
      <c r="HGJ422" s="274"/>
      <c r="HGK422" s="274"/>
      <c r="HGL422" s="274"/>
      <c r="HGM422" s="274"/>
      <c r="HGN422" s="274"/>
      <c r="HGO422" s="274"/>
      <c r="HGP422" s="274"/>
      <c r="HGQ422" s="274"/>
      <c r="HGR422" s="274"/>
      <c r="HGS422" s="274"/>
      <c r="HGT422" s="274"/>
      <c r="HGU422" s="274"/>
      <c r="HGV422" s="274"/>
      <c r="HGW422" s="274"/>
      <c r="HGX422" s="274"/>
      <c r="HGY422" s="274"/>
      <c r="HGZ422" s="274"/>
      <c r="HHA422" s="274"/>
      <c r="HHB422" s="274"/>
      <c r="HHC422" s="274"/>
      <c r="HHD422" s="274"/>
      <c r="HHE422" s="274"/>
      <c r="HHF422" s="274"/>
      <c r="HHG422" s="274"/>
      <c r="HHH422" s="274"/>
      <c r="HHI422" s="274"/>
      <c r="HHJ422" s="274"/>
      <c r="HHK422" s="274"/>
      <c r="HHL422" s="274"/>
      <c r="HHM422" s="274"/>
      <c r="HHN422" s="274"/>
      <c r="HHO422" s="274"/>
      <c r="HHP422" s="274"/>
      <c r="HHQ422" s="274"/>
      <c r="HHR422" s="274"/>
      <c r="HHS422" s="274"/>
      <c r="HHT422" s="274"/>
      <c r="HHU422" s="274"/>
      <c r="HHV422" s="274"/>
      <c r="HHW422" s="274"/>
      <c r="HHX422" s="274"/>
      <c r="HHY422" s="274"/>
      <c r="HHZ422" s="274"/>
      <c r="HIA422" s="274"/>
      <c r="HIB422" s="274"/>
      <c r="HIC422" s="274"/>
      <c r="HID422" s="274"/>
      <c r="HIE422" s="274"/>
      <c r="HIF422" s="274"/>
      <c r="HIG422" s="274"/>
      <c r="HIH422" s="274"/>
      <c r="HII422" s="274"/>
      <c r="HIJ422" s="274"/>
      <c r="HIK422" s="274"/>
      <c r="HIL422" s="274"/>
      <c r="HIM422" s="274"/>
      <c r="HIN422" s="274"/>
      <c r="HIO422" s="274"/>
      <c r="HIP422" s="274"/>
      <c r="HIQ422" s="274"/>
      <c r="HIR422" s="274"/>
      <c r="HIS422" s="274"/>
      <c r="HIT422" s="274"/>
      <c r="HIU422" s="274"/>
      <c r="HIV422" s="274"/>
      <c r="HIW422" s="274"/>
      <c r="HIX422" s="274"/>
      <c r="HIY422" s="274"/>
      <c r="HIZ422" s="274"/>
      <c r="HJA422" s="274"/>
      <c r="HJB422" s="274"/>
      <c r="HJC422" s="274"/>
      <c r="HJD422" s="274"/>
      <c r="HJE422" s="274"/>
      <c r="HJF422" s="274"/>
      <c r="HJG422" s="274"/>
      <c r="HJH422" s="274"/>
      <c r="HJI422" s="274"/>
      <c r="HJJ422" s="274"/>
      <c r="HJK422" s="274"/>
      <c r="HJL422" s="274"/>
      <c r="HJM422" s="274"/>
      <c r="HJN422" s="274"/>
      <c r="HJO422" s="274"/>
      <c r="HJP422" s="274"/>
      <c r="HJQ422" s="274"/>
      <c r="HJR422" s="274"/>
      <c r="HJS422" s="274"/>
      <c r="HJT422" s="274"/>
      <c r="HJU422" s="274"/>
      <c r="HJV422" s="274"/>
      <c r="HJW422" s="274"/>
      <c r="HJX422" s="274"/>
      <c r="HJY422" s="274"/>
      <c r="HJZ422" s="274"/>
      <c r="HKA422" s="274"/>
      <c r="HKB422" s="274"/>
      <c r="HKC422" s="274"/>
      <c r="HKD422" s="274"/>
      <c r="HKE422" s="274"/>
      <c r="HKF422" s="274"/>
      <c r="HKG422" s="274"/>
      <c r="HKH422" s="274"/>
      <c r="HKI422" s="274"/>
      <c r="HKJ422" s="274"/>
      <c r="HKK422" s="274"/>
      <c r="HKL422" s="274"/>
      <c r="HKM422" s="274"/>
      <c r="HKN422" s="274"/>
      <c r="HKO422" s="274"/>
      <c r="HKP422" s="274"/>
      <c r="HKQ422" s="274"/>
      <c r="HKR422" s="274"/>
      <c r="HKS422" s="274"/>
      <c r="HKT422" s="274"/>
      <c r="HKU422" s="274"/>
      <c r="HKV422" s="274"/>
      <c r="HKW422" s="274"/>
      <c r="HKX422" s="274"/>
      <c r="HKY422" s="274"/>
      <c r="HKZ422" s="274"/>
      <c r="HLA422" s="274"/>
      <c r="HLB422" s="274"/>
      <c r="HLC422" s="274"/>
      <c r="HLD422" s="274"/>
      <c r="HLE422" s="274"/>
      <c r="HLF422" s="274"/>
      <c r="HLG422" s="274"/>
      <c r="HLH422" s="274"/>
      <c r="HLI422" s="274"/>
      <c r="HLJ422" s="274"/>
      <c r="HLK422" s="274"/>
      <c r="HLL422" s="274"/>
      <c r="HLM422" s="274"/>
      <c r="HLN422" s="274"/>
      <c r="HLO422" s="274"/>
      <c r="HLP422" s="274"/>
      <c r="HLQ422" s="274"/>
      <c r="HLR422" s="274"/>
      <c r="HLS422" s="274"/>
      <c r="HLT422" s="274"/>
      <c r="HLU422" s="274"/>
      <c r="HLV422" s="274"/>
      <c r="HLW422" s="274"/>
      <c r="HLX422" s="274"/>
      <c r="HLY422" s="274"/>
      <c r="HLZ422" s="274"/>
      <c r="HMA422" s="274"/>
      <c r="HMB422" s="274"/>
      <c r="HMC422" s="274"/>
      <c r="HMD422" s="274"/>
      <c r="HME422" s="274"/>
      <c r="HMF422" s="274"/>
      <c r="HMG422" s="274"/>
      <c r="HMH422" s="274"/>
      <c r="HMI422" s="274"/>
      <c r="HMJ422" s="274"/>
      <c r="HMK422" s="274"/>
      <c r="HML422" s="274"/>
      <c r="HMM422" s="274"/>
      <c r="HMN422" s="274"/>
      <c r="HMO422" s="274"/>
      <c r="HMP422" s="274"/>
      <c r="HMQ422" s="274"/>
      <c r="HMR422" s="274"/>
      <c r="HMS422" s="274"/>
      <c r="HMT422" s="274"/>
      <c r="HMU422" s="274"/>
      <c r="HMV422" s="274"/>
      <c r="HMW422" s="274"/>
      <c r="HMX422" s="274"/>
      <c r="HMY422" s="274"/>
      <c r="HMZ422" s="274"/>
      <c r="HNA422" s="274"/>
      <c r="HNB422" s="274"/>
      <c r="HNC422" s="274"/>
      <c r="HND422" s="274"/>
      <c r="HNE422" s="274"/>
      <c r="HNF422" s="274"/>
      <c r="HNG422" s="274"/>
      <c r="HNH422" s="274"/>
      <c r="HNI422" s="274"/>
      <c r="HNJ422" s="274"/>
      <c r="HNK422" s="274"/>
      <c r="HNL422" s="274"/>
      <c r="HNM422" s="274"/>
      <c r="HNN422" s="274"/>
      <c r="HNO422" s="274"/>
      <c r="HNP422" s="274"/>
      <c r="HNQ422" s="274"/>
      <c r="HNR422" s="274"/>
      <c r="HNS422" s="274"/>
      <c r="HNT422" s="274"/>
      <c r="HNU422" s="274"/>
      <c r="HNV422" s="274"/>
      <c r="HNW422" s="274"/>
      <c r="HNX422" s="274"/>
      <c r="HNY422" s="274"/>
      <c r="HNZ422" s="274"/>
      <c r="HOA422" s="274"/>
      <c r="HOB422" s="274"/>
      <c r="HOC422" s="274"/>
      <c r="HOD422" s="274"/>
      <c r="HOE422" s="274"/>
      <c r="HOF422" s="274"/>
      <c r="HOG422" s="274"/>
      <c r="HOH422" s="274"/>
      <c r="HOI422" s="274"/>
      <c r="HOJ422" s="274"/>
      <c r="HOK422" s="274"/>
      <c r="HOL422" s="274"/>
      <c r="HOM422" s="274"/>
      <c r="HON422" s="274"/>
      <c r="HOO422" s="274"/>
      <c r="HOP422" s="274"/>
      <c r="HOQ422" s="274"/>
      <c r="HOR422" s="274"/>
      <c r="HOS422" s="274"/>
      <c r="HOT422" s="274"/>
      <c r="HOU422" s="274"/>
      <c r="HOV422" s="274"/>
      <c r="HOW422" s="274"/>
      <c r="HOX422" s="274"/>
      <c r="HOY422" s="274"/>
      <c r="HOZ422" s="274"/>
      <c r="HPA422" s="274"/>
      <c r="HPB422" s="274"/>
      <c r="HPC422" s="274"/>
      <c r="HPD422" s="274"/>
      <c r="HPE422" s="274"/>
      <c r="HPF422" s="274"/>
      <c r="HPG422" s="274"/>
      <c r="HPH422" s="274"/>
      <c r="HPI422" s="274"/>
      <c r="HPJ422" s="274"/>
      <c r="HPK422" s="274"/>
      <c r="HPL422" s="274"/>
      <c r="HPM422" s="274"/>
      <c r="HPN422" s="274"/>
      <c r="HPO422" s="274"/>
      <c r="HPP422" s="274"/>
      <c r="HPQ422" s="274"/>
      <c r="HPR422" s="274"/>
      <c r="HPS422" s="274"/>
      <c r="HPT422" s="274"/>
      <c r="HPU422" s="274"/>
      <c r="HPV422" s="274"/>
      <c r="HPW422" s="274"/>
      <c r="HPX422" s="274"/>
      <c r="HPY422" s="274"/>
      <c r="HPZ422" s="274"/>
      <c r="HQA422" s="274"/>
      <c r="HQB422" s="274"/>
      <c r="HQC422" s="274"/>
      <c r="HQD422" s="274"/>
      <c r="HQE422" s="274"/>
      <c r="HQF422" s="274"/>
      <c r="HQG422" s="274"/>
      <c r="HQH422" s="274"/>
      <c r="HQI422" s="274"/>
      <c r="HQJ422" s="274"/>
      <c r="HQK422" s="274"/>
      <c r="HQL422" s="274"/>
      <c r="HQM422" s="274"/>
      <c r="HQN422" s="274"/>
      <c r="HQO422" s="274"/>
      <c r="HQP422" s="274"/>
      <c r="HQQ422" s="274"/>
      <c r="HQR422" s="274"/>
      <c r="HQS422" s="274"/>
      <c r="HQT422" s="274"/>
      <c r="HQU422" s="274"/>
      <c r="HQV422" s="274"/>
      <c r="HQW422" s="274"/>
      <c r="HQX422" s="274"/>
      <c r="HQY422" s="274"/>
      <c r="HQZ422" s="274"/>
      <c r="HRA422" s="274"/>
      <c r="HRB422" s="274"/>
      <c r="HRC422" s="274"/>
      <c r="HRD422" s="274"/>
      <c r="HRE422" s="274"/>
      <c r="HRF422" s="274"/>
      <c r="HRG422" s="274"/>
      <c r="HRH422" s="274"/>
      <c r="HRI422" s="274"/>
      <c r="HRJ422" s="274"/>
      <c r="HRK422" s="274"/>
      <c r="HRL422" s="274"/>
      <c r="HRM422" s="274"/>
      <c r="HRN422" s="274"/>
      <c r="HRO422" s="274"/>
      <c r="HRP422" s="274"/>
      <c r="HRQ422" s="274"/>
      <c r="HRR422" s="274"/>
      <c r="HRS422" s="274"/>
      <c r="HRT422" s="274"/>
      <c r="HRU422" s="274"/>
      <c r="HRV422" s="274"/>
      <c r="HRW422" s="274"/>
      <c r="HRX422" s="274"/>
      <c r="HRY422" s="274"/>
      <c r="HRZ422" s="274"/>
      <c r="HSA422" s="274"/>
      <c r="HSB422" s="274"/>
      <c r="HSC422" s="274"/>
      <c r="HSD422" s="274"/>
      <c r="HSE422" s="274"/>
      <c r="HSF422" s="274"/>
      <c r="HSG422" s="274"/>
      <c r="HSH422" s="274"/>
      <c r="HSI422" s="274"/>
      <c r="HSJ422" s="274"/>
      <c r="HSK422" s="274"/>
      <c r="HSL422" s="274"/>
      <c r="HSM422" s="274"/>
      <c r="HSN422" s="274"/>
      <c r="HSO422" s="274"/>
      <c r="HSP422" s="274"/>
      <c r="HSQ422" s="274"/>
      <c r="HSR422" s="274"/>
      <c r="HSS422" s="274"/>
      <c r="HST422" s="274"/>
      <c r="HSU422" s="274"/>
      <c r="HSV422" s="274"/>
      <c r="HSW422" s="274"/>
      <c r="HSX422" s="274"/>
      <c r="HSY422" s="274"/>
      <c r="HSZ422" s="274"/>
      <c r="HTA422" s="274"/>
      <c r="HTB422" s="274"/>
      <c r="HTC422" s="274"/>
      <c r="HTD422" s="274"/>
      <c r="HTE422" s="274"/>
      <c r="HTF422" s="274"/>
      <c r="HTG422" s="274"/>
      <c r="HTH422" s="274"/>
      <c r="HTI422" s="274"/>
      <c r="HTJ422" s="274"/>
      <c r="HTK422" s="274"/>
      <c r="HTL422" s="274"/>
      <c r="HTM422" s="274"/>
      <c r="HTN422" s="274"/>
      <c r="HTO422" s="274"/>
      <c r="HTP422" s="274"/>
      <c r="HTQ422" s="274"/>
      <c r="HTR422" s="274"/>
      <c r="HTS422" s="274"/>
      <c r="HTT422" s="274"/>
      <c r="HTU422" s="274"/>
      <c r="HTV422" s="274"/>
      <c r="HTW422" s="274"/>
      <c r="HTX422" s="274"/>
      <c r="HTY422" s="274"/>
      <c r="HTZ422" s="274"/>
      <c r="HUA422" s="274"/>
      <c r="HUB422" s="274"/>
      <c r="HUC422" s="274"/>
      <c r="HUD422" s="274"/>
      <c r="HUE422" s="274"/>
      <c r="HUF422" s="274"/>
      <c r="HUG422" s="274"/>
      <c r="HUH422" s="274"/>
      <c r="HUI422" s="274"/>
      <c r="HUJ422" s="274"/>
      <c r="HUK422" s="274"/>
      <c r="HUL422" s="274"/>
      <c r="HUM422" s="274"/>
      <c r="HUN422" s="274"/>
      <c r="HUO422" s="274"/>
      <c r="HUP422" s="274"/>
      <c r="HUQ422" s="274"/>
      <c r="HUR422" s="274"/>
      <c r="HUS422" s="274"/>
      <c r="HUT422" s="274"/>
      <c r="HUU422" s="274"/>
      <c r="HUV422" s="274"/>
      <c r="HUW422" s="274"/>
      <c r="HUX422" s="274"/>
      <c r="HUY422" s="274"/>
      <c r="HUZ422" s="274"/>
      <c r="HVA422" s="274"/>
      <c r="HVB422" s="274"/>
      <c r="HVC422" s="274"/>
      <c r="HVD422" s="274"/>
      <c r="HVE422" s="274"/>
      <c r="HVF422" s="274"/>
      <c r="HVG422" s="274"/>
      <c r="HVH422" s="274"/>
      <c r="HVI422" s="274"/>
      <c r="HVJ422" s="274"/>
      <c r="HVK422" s="274"/>
      <c r="HVL422" s="274"/>
      <c r="HVM422" s="274"/>
      <c r="HVN422" s="274"/>
      <c r="HVO422" s="274"/>
      <c r="HVP422" s="274"/>
      <c r="HVQ422" s="274"/>
      <c r="HVR422" s="274"/>
      <c r="HVS422" s="274"/>
      <c r="HVT422" s="274"/>
      <c r="HVU422" s="274"/>
      <c r="HVV422" s="274"/>
      <c r="HVW422" s="274"/>
      <c r="HVX422" s="274"/>
      <c r="HVY422" s="274"/>
      <c r="HVZ422" s="274"/>
      <c r="HWA422" s="274"/>
      <c r="HWB422" s="274"/>
      <c r="HWC422" s="274"/>
      <c r="HWD422" s="274"/>
      <c r="HWE422" s="274"/>
      <c r="HWF422" s="274"/>
      <c r="HWG422" s="274"/>
      <c r="HWH422" s="274"/>
      <c r="HWI422" s="274"/>
      <c r="HWJ422" s="274"/>
      <c r="HWK422" s="274"/>
      <c r="HWL422" s="274"/>
      <c r="HWM422" s="274"/>
      <c r="HWN422" s="274"/>
      <c r="HWO422" s="274"/>
      <c r="HWP422" s="274"/>
      <c r="HWQ422" s="274"/>
      <c r="HWR422" s="274"/>
      <c r="HWS422" s="274"/>
      <c r="HWT422" s="274"/>
      <c r="HWU422" s="274"/>
      <c r="HWV422" s="274"/>
      <c r="HWW422" s="274"/>
      <c r="HWX422" s="274"/>
      <c r="HWY422" s="274"/>
      <c r="HWZ422" s="274"/>
      <c r="HXA422" s="274"/>
      <c r="HXB422" s="274"/>
      <c r="HXC422" s="274"/>
      <c r="HXD422" s="274"/>
      <c r="HXE422" s="274"/>
      <c r="HXF422" s="274"/>
      <c r="HXG422" s="274"/>
      <c r="HXH422" s="274"/>
      <c r="HXI422" s="274"/>
      <c r="HXJ422" s="274"/>
      <c r="HXK422" s="274"/>
      <c r="HXL422" s="274"/>
      <c r="HXM422" s="274"/>
      <c r="HXN422" s="274"/>
      <c r="HXO422" s="274"/>
      <c r="HXP422" s="274"/>
      <c r="HXQ422" s="274"/>
      <c r="HXR422" s="274"/>
      <c r="HXS422" s="274"/>
      <c r="HXT422" s="274"/>
      <c r="HXU422" s="274"/>
      <c r="HXV422" s="274"/>
      <c r="HXW422" s="274"/>
      <c r="HXX422" s="274"/>
      <c r="HXY422" s="274"/>
      <c r="HXZ422" s="274"/>
      <c r="HYA422" s="274"/>
      <c r="HYB422" s="274"/>
      <c r="HYC422" s="274"/>
      <c r="HYD422" s="274"/>
      <c r="HYE422" s="274"/>
      <c r="HYF422" s="274"/>
      <c r="HYG422" s="274"/>
      <c r="HYH422" s="274"/>
      <c r="HYI422" s="274"/>
      <c r="HYJ422" s="274"/>
      <c r="HYK422" s="274"/>
      <c r="HYL422" s="274"/>
      <c r="HYM422" s="274"/>
      <c r="HYN422" s="274"/>
      <c r="HYO422" s="274"/>
      <c r="HYP422" s="274"/>
      <c r="HYQ422" s="274"/>
      <c r="HYR422" s="274"/>
      <c r="HYS422" s="274"/>
      <c r="HYT422" s="274"/>
      <c r="HYU422" s="274"/>
      <c r="HYV422" s="274"/>
      <c r="HYW422" s="274"/>
      <c r="HYX422" s="274"/>
      <c r="HYY422" s="274"/>
      <c r="HYZ422" s="274"/>
      <c r="HZA422" s="274"/>
      <c r="HZB422" s="274"/>
      <c r="HZC422" s="274"/>
      <c r="HZD422" s="274"/>
      <c r="HZE422" s="274"/>
      <c r="HZF422" s="274"/>
      <c r="HZG422" s="274"/>
      <c r="HZH422" s="274"/>
      <c r="HZI422" s="274"/>
      <c r="HZJ422" s="274"/>
      <c r="HZK422" s="274"/>
      <c r="HZL422" s="274"/>
      <c r="HZM422" s="274"/>
      <c r="HZN422" s="274"/>
      <c r="HZO422" s="274"/>
      <c r="HZP422" s="274"/>
      <c r="HZQ422" s="274"/>
      <c r="HZR422" s="274"/>
      <c r="HZS422" s="274"/>
      <c r="HZT422" s="274"/>
      <c r="HZU422" s="274"/>
      <c r="HZV422" s="274"/>
      <c r="HZW422" s="274"/>
      <c r="HZX422" s="274"/>
      <c r="HZY422" s="274"/>
      <c r="HZZ422" s="274"/>
      <c r="IAA422" s="274"/>
      <c r="IAB422" s="274"/>
      <c r="IAC422" s="274"/>
      <c r="IAD422" s="274"/>
      <c r="IAE422" s="274"/>
      <c r="IAF422" s="274"/>
      <c r="IAG422" s="274"/>
      <c r="IAH422" s="274"/>
      <c r="IAI422" s="274"/>
      <c r="IAJ422" s="274"/>
      <c r="IAK422" s="274"/>
      <c r="IAL422" s="274"/>
      <c r="IAM422" s="274"/>
      <c r="IAN422" s="274"/>
      <c r="IAO422" s="274"/>
      <c r="IAP422" s="274"/>
      <c r="IAQ422" s="274"/>
      <c r="IAR422" s="274"/>
      <c r="IAS422" s="274"/>
      <c r="IAT422" s="274"/>
      <c r="IAU422" s="274"/>
      <c r="IAV422" s="274"/>
      <c r="IAW422" s="274"/>
      <c r="IAX422" s="274"/>
      <c r="IAY422" s="274"/>
      <c r="IAZ422" s="274"/>
      <c r="IBA422" s="274"/>
      <c r="IBB422" s="274"/>
      <c r="IBC422" s="274"/>
      <c r="IBD422" s="274"/>
      <c r="IBE422" s="274"/>
      <c r="IBF422" s="274"/>
      <c r="IBG422" s="274"/>
      <c r="IBH422" s="274"/>
      <c r="IBI422" s="274"/>
      <c r="IBJ422" s="274"/>
      <c r="IBK422" s="274"/>
      <c r="IBL422" s="274"/>
      <c r="IBM422" s="274"/>
      <c r="IBN422" s="274"/>
      <c r="IBO422" s="274"/>
      <c r="IBP422" s="274"/>
      <c r="IBQ422" s="274"/>
      <c r="IBR422" s="274"/>
      <c r="IBS422" s="274"/>
      <c r="IBT422" s="274"/>
      <c r="IBU422" s="274"/>
      <c r="IBV422" s="274"/>
      <c r="IBW422" s="274"/>
      <c r="IBX422" s="274"/>
      <c r="IBY422" s="274"/>
      <c r="IBZ422" s="274"/>
      <c r="ICA422" s="274"/>
      <c r="ICB422" s="274"/>
      <c r="ICC422" s="274"/>
      <c r="ICD422" s="274"/>
      <c r="ICE422" s="274"/>
      <c r="ICF422" s="274"/>
      <c r="ICG422" s="274"/>
      <c r="ICH422" s="274"/>
      <c r="ICI422" s="274"/>
      <c r="ICJ422" s="274"/>
      <c r="ICK422" s="274"/>
      <c r="ICL422" s="274"/>
      <c r="ICM422" s="274"/>
      <c r="ICN422" s="274"/>
      <c r="ICO422" s="274"/>
      <c r="ICP422" s="274"/>
      <c r="ICQ422" s="274"/>
      <c r="ICR422" s="274"/>
      <c r="ICS422" s="274"/>
      <c r="ICT422" s="274"/>
      <c r="ICU422" s="274"/>
      <c r="ICV422" s="274"/>
      <c r="ICW422" s="274"/>
      <c r="ICX422" s="274"/>
      <c r="ICY422" s="274"/>
      <c r="ICZ422" s="274"/>
      <c r="IDA422" s="274"/>
      <c r="IDB422" s="274"/>
      <c r="IDC422" s="274"/>
      <c r="IDD422" s="274"/>
      <c r="IDE422" s="274"/>
      <c r="IDF422" s="274"/>
      <c r="IDG422" s="274"/>
      <c r="IDH422" s="274"/>
      <c r="IDI422" s="274"/>
      <c r="IDJ422" s="274"/>
      <c r="IDK422" s="274"/>
      <c r="IDL422" s="274"/>
      <c r="IDM422" s="274"/>
      <c r="IDN422" s="274"/>
      <c r="IDO422" s="274"/>
      <c r="IDP422" s="274"/>
      <c r="IDQ422" s="274"/>
      <c r="IDR422" s="274"/>
      <c r="IDS422" s="274"/>
      <c r="IDT422" s="274"/>
      <c r="IDU422" s="274"/>
      <c r="IDV422" s="274"/>
      <c r="IDW422" s="274"/>
      <c r="IDX422" s="274"/>
      <c r="IDY422" s="274"/>
      <c r="IDZ422" s="274"/>
      <c r="IEA422" s="274"/>
      <c r="IEB422" s="274"/>
      <c r="IEC422" s="274"/>
      <c r="IED422" s="274"/>
      <c r="IEE422" s="274"/>
      <c r="IEF422" s="274"/>
      <c r="IEG422" s="274"/>
      <c r="IEH422" s="274"/>
      <c r="IEI422" s="274"/>
      <c r="IEJ422" s="274"/>
      <c r="IEK422" s="274"/>
      <c r="IEL422" s="274"/>
      <c r="IEM422" s="274"/>
      <c r="IEN422" s="274"/>
      <c r="IEO422" s="274"/>
      <c r="IEP422" s="274"/>
      <c r="IEQ422" s="274"/>
      <c r="IER422" s="274"/>
      <c r="IES422" s="274"/>
      <c r="IET422" s="274"/>
      <c r="IEU422" s="274"/>
      <c r="IEV422" s="274"/>
      <c r="IEW422" s="274"/>
      <c r="IEX422" s="274"/>
      <c r="IEY422" s="274"/>
      <c r="IEZ422" s="274"/>
      <c r="IFA422" s="274"/>
      <c r="IFB422" s="274"/>
      <c r="IFC422" s="274"/>
      <c r="IFD422" s="274"/>
      <c r="IFE422" s="274"/>
      <c r="IFF422" s="274"/>
      <c r="IFG422" s="274"/>
      <c r="IFH422" s="274"/>
      <c r="IFI422" s="274"/>
      <c r="IFJ422" s="274"/>
      <c r="IFK422" s="274"/>
      <c r="IFL422" s="274"/>
      <c r="IFM422" s="274"/>
      <c r="IFN422" s="274"/>
      <c r="IFO422" s="274"/>
      <c r="IFP422" s="274"/>
      <c r="IFQ422" s="274"/>
      <c r="IFR422" s="274"/>
      <c r="IFS422" s="274"/>
      <c r="IFT422" s="274"/>
      <c r="IFU422" s="274"/>
      <c r="IFV422" s="274"/>
      <c r="IFW422" s="274"/>
      <c r="IFX422" s="274"/>
      <c r="IFY422" s="274"/>
      <c r="IFZ422" s="274"/>
      <c r="IGA422" s="274"/>
      <c r="IGB422" s="274"/>
      <c r="IGC422" s="274"/>
      <c r="IGD422" s="274"/>
      <c r="IGE422" s="274"/>
      <c r="IGF422" s="274"/>
      <c r="IGG422" s="274"/>
      <c r="IGH422" s="274"/>
      <c r="IGI422" s="274"/>
      <c r="IGJ422" s="274"/>
      <c r="IGK422" s="274"/>
      <c r="IGL422" s="274"/>
      <c r="IGM422" s="274"/>
      <c r="IGN422" s="274"/>
      <c r="IGO422" s="274"/>
      <c r="IGP422" s="274"/>
      <c r="IGQ422" s="274"/>
      <c r="IGR422" s="274"/>
      <c r="IGS422" s="274"/>
      <c r="IGT422" s="274"/>
      <c r="IGU422" s="274"/>
      <c r="IGV422" s="274"/>
      <c r="IGW422" s="274"/>
      <c r="IGX422" s="274"/>
      <c r="IGY422" s="274"/>
      <c r="IGZ422" s="274"/>
      <c r="IHA422" s="274"/>
      <c r="IHB422" s="274"/>
      <c r="IHC422" s="274"/>
      <c r="IHD422" s="274"/>
      <c r="IHE422" s="274"/>
      <c r="IHF422" s="274"/>
      <c r="IHG422" s="274"/>
      <c r="IHH422" s="274"/>
      <c r="IHI422" s="274"/>
      <c r="IHJ422" s="274"/>
      <c r="IHK422" s="274"/>
      <c r="IHL422" s="274"/>
      <c r="IHM422" s="274"/>
      <c r="IHN422" s="274"/>
      <c r="IHO422" s="274"/>
      <c r="IHP422" s="274"/>
      <c r="IHQ422" s="274"/>
      <c r="IHR422" s="274"/>
      <c r="IHS422" s="274"/>
      <c r="IHT422" s="274"/>
      <c r="IHU422" s="274"/>
      <c r="IHV422" s="274"/>
      <c r="IHW422" s="274"/>
      <c r="IHX422" s="274"/>
      <c r="IHY422" s="274"/>
      <c r="IHZ422" s="274"/>
      <c r="IIA422" s="274"/>
      <c r="IIB422" s="274"/>
      <c r="IIC422" s="274"/>
      <c r="IID422" s="274"/>
      <c r="IIE422" s="274"/>
      <c r="IIF422" s="274"/>
      <c r="IIG422" s="274"/>
      <c r="IIH422" s="274"/>
      <c r="III422" s="274"/>
      <c r="IIJ422" s="274"/>
      <c r="IIK422" s="274"/>
      <c r="IIL422" s="274"/>
      <c r="IIM422" s="274"/>
      <c r="IIN422" s="274"/>
      <c r="IIO422" s="274"/>
      <c r="IIP422" s="274"/>
      <c r="IIQ422" s="274"/>
      <c r="IIR422" s="274"/>
      <c r="IIS422" s="274"/>
      <c r="IIT422" s="274"/>
      <c r="IIU422" s="274"/>
      <c r="IIV422" s="274"/>
      <c r="IIW422" s="274"/>
      <c r="IIX422" s="274"/>
      <c r="IIY422" s="274"/>
      <c r="IIZ422" s="274"/>
      <c r="IJA422" s="274"/>
      <c r="IJB422" s="274"/>
      <c r="IJC422" s="274"/>
      <c r="IJD422" s="274"/>
      <c r="IJE422" s="274"/>
      <c r="IJF422" s="274"/>
      <c r="IJG422" s="274"/>
      <c r="IJH422" s="274"/>
      <c r="IJI422" s="274"/>
      <c r="IJJ422" s="274"/>
      <c r="IJK422" s="274"/>
      <c r="IJL422" s="274"/>
      <c r="IJM422" s="274"/>
      <c r="IJN422" s="274"/>
      <c r="IJO422" s="274"/>
      <c r="IJP422" s="274"/>
      <c r="IJQ422" s="274"/>
      <c r="IJR422" s="274"/>
      <c r="IJS422" s="274"/>
      <c r="IJT422" s="274"/>
      <c r="IJU422" s="274"/>
      <c r="IJV422" s="274"/>
      <c r="IJW422" s="274"/>
      <c r="IJX422" s="274"/>
      <c r="IJY422" s="274"/>
      <c r="IJZ422" s="274"/>
      <c r="IKA422" s="274"/>
      <c r="IKB422" s="274"/>
      <c r="IKC422" s="274"/>
      <c r="IKD422" s="274"/>
      <c r="IKE422" s="274"/>
      <c r="IKF422" s="274"/>
      <c r="IKG422" s="274"/>
      <c r="IKH422" s="274"/>
      <c r="IKI422" s="274"/>
      <c r="IKJ422" s="274"/>
      <c r="IKK422" s="274"/>
      <c r="IKL422" s="274"/>
      <c r="IKM422" s="274"/>
      <c r="IKN422" s="274"/>
      <c r="IKO422" s="274"/>
      <c r="IKP422" s="274"/>
      <c r="IKQ422" s="274"/>
      <c r="IKR422" s="274"/>
      <c r="IKS422" s="274"/>
      <c r="IKT422" s="274"/>
      <c r="IKU422" s="274"/>
      <c r="IKV422" s="274"/>
      <c r="IKW422" s="274"/>
      <c r="IKX422" s="274"/>
      <c r="IKY422" s="274"/>
      <c r="IKZ422" s="274"/>
      <c r="ILA422" s="274"/>
      <c r="ILB422" s="274"/>
      <c r="ILC422" s="274"/>
      <c r="ILD422" s="274"/>
      <c r="ILE422" s="274"/>
      <c r="ILF422" s="274"/>
      <c r="ILG422" s="274"/>
      <c r="ILH422" s="274"/>
      <c r="ILI422" s="274"/>
      <c r="ILJ422" s="274"/>
      <c r="ILK422" s="274"/>
      <c r="ILL422" s="274"/>
      <c r="ILM422" s="274"/>
      <c r="ILN422" s="274"/>
      <c r="ILO422" s="274"/>
      <c r="ILP422" s="274"/>
      <c r="ILQ422" s="274"/>
      <c r="ILR422" s="274"/>
      <c r="ILS422" s="274"/>
      <c r="ILT422" s="274"/>
      <c r="ILU422" s="274"/>
      <c r="ILV422" s="274"/>
      <c r="ILW422" s="274"/>
      <c r="ILX422" s="274"/>
      <c r="ILY422" s="274"/>
      <c r="ILZ422" s="274"/>
      <c r="IMA422" s="274"/>
      <c r="IMB422" s="274"/>
      <c r="IMC422" s="274"/>
      <c r="IMD422" s="274"/>
      <c r="IME422" s="274"/>
      <c r="IMF422" s="274"/>
      <c r="IMG422" s="274"/>
      <c r="IMH422" s="274"/>
      <c r="IMI422" s="274"/>
      <c r="IMJ422" s="274"/>
      <c r="IMK422" s="274"/>
      <c r="IML422" s="274"/>
      <c r="IMM422" s="274"/>
      <c r="IMN422" s="274"/>
      <c r="IMO422" s="274"/>
      <c r="IMP422" s="274"/>
      <c r="IMQ422" s="274"/>
      <c r="IMR422" s="274"/>
      <c r="IMS422" s="274"/>
      <c r="IMT422" s="274"/>
      <c r="IMU422" s="274"/>
      <c r="IMV422" s="274"/>
      <c r="IMW422" s="274"/>
      <c r="IMX422" s="274"/>
      <c r="IMY422" s="274"/>
      <c r="IMZ422" s="274"/>
      <c r="INA422" s="274"/>
      <c r="INB422" s="274"/>
      <c r="INC422" s="274"/>
      <c r="IND422" s="274"/>
      <c r="INE422" s="274"/>
      <c r="INF422" s="274"/>
      <c r="ING422" s="274"/>
      <c r="INH422" s="274"/>
      <c r="INI422" s="274"/>
      <c r="INJ422" s="274"/>
      <c r="INK422" s="274"/>
      <c r="INL422" s="274"/>
      <c r="INM422" s="274"/>
      <c r="INN422" s="274"/>
      <c r="INO422" s="274"/>
      <c r="INP422" s="274"/>
      <c r="INQ422" s="274"/>
      <c r="INR422" s="274"/>
      <c r="INS422" s="274"/>
      <c r="INT422" s="274"/>
      <c r="INU422" s="274"/>
      <c r="INV422" s="274"/>
      <c r="INW422" s="274"/>
      <c r="INX422" s="274"/>
      <c r="INY422" s="274"/>
      <c r="INZ422" s="274"/>
      <c r="IOA422" s="274"/>
      <c r="IOB422" s="274"/>
      <c r="IOC422" s="274"/>
      <c r="IOD422" s="274"/>
      <c r="IOE422" s="274"/>
      <c r="IOF422" s="274"/>
      <c r="IOG422" s="274"/>
      <c r="IOH422" s="274"/>
      <c r="IOI422" s="274"/>
      <c r="IOJ422" s="274"/>
      <c r="IOK422" s="274"/>
      <c r="IOL422" s="274"/>
      <c r="IOM422" s="274"/>
      <c r="ION422" s="274"/>
      <c r="IOO422" s="274"/>
      <c r="IOP422" s="274"/>
      <c r="IOQ422" s="274"/>
      <c r="IOR422" s="274"/>
      <c r="IOS422" s="274"/>
      <c r="IOT422" s="274"/>
      <c r="IOU422" s="274"/>
      <c r="IOV422" s="274"/>
      <c r="IOW422" s="274"/>
      <c r="IOX422" s="274"/>
      <c r="IOY422" s="274"/>
      <c r="IOZ422" s="274"/>
      <c r="IPA422" s="274"/>
      <c r="IPB422" s="274"/>
      <c r="IPC422" s="274"/>
      <c r="IPD422" s="274"/>
      <c r="IPE422" s="274"/>
      <c r="IPF422" s="274"/>
      <c r="IPG422" s="274"/>
      <c r="IPH422" s="274"/>
      <c r="IPI422" s="274"/>
      <c r="IPJ422" s="274"/>
      <c r="IPK422" s="274"/>
      <c r="IPL422" s="274"/>
      <c r="IPM422" s="274"/>
      <c r="IPN422" s="274"/>
      <c r="IPO422" s="274"/>
      <c r="IPP422" s="274"/>
      <c r="IPQ422" s="274"/>
      <c r="IPR422" s="274"/>
      <c r="IPS422" s="274"/>
      <c r="IPT422" s="274"/>
      <c r="IPU422" s="274"/>
      <c r="IPV422" s="274"/>
      <c r="IPW422" s="274"/>
      <c r="IPX422" s="274"/>
      <c r="IPY422" s="274"/>
      <c r="IPZ422" s="274"/>
      <c r="IQA422" s="274"/>
      <c r="IQB422" s="274"/>
      <c r="IQC422" s="274"/>
      <c r="IQD422" s="274"/>
      <c r="IQE422" s="274"/>
      <c r="IQF422" s="274"/>
      <c r="IQG422" s="274"/>
      <c r="IQH422" s="274"/>
      <c r="IQI422" s="274"/>
      <c r="IQJ422" s="274"/>
      <c r="IQK422" s="274"/>
      <c r="IQL422" s="274"/>
      <c r="IQM422" s="274"/>
      <c r="IQN422" s="274"/>
      <c r="IQO422" s="274"/>
      <c r="IQP422" s="274"/>
      <c r="IQQ422" s="274"/>
      <c r="IQR422" s="274"/>
      <c r="IQS422" s="274"/>
      <c r="IQT422" s="274"/>
      <c r="IQU422" s="274"/>
      <c r="IQV422" s="274"/>
      <c r="IQW422" s="274"/>
      <c r="IQX422" s="274"/>
      <c r="IQY422" s="274"/>
      <c r="IQZ422" s="274"/>
      <c r="IRA422" s="274"/>
      <c r="IRB422" s="274"/>
      <c r="IRC422" s="274"/>
      <c r="IRD422" s="274"/>
      <c r="IRE422" s="274"/>
      <c r="IRF422" s="274"/>
      <c r="IRG422" s="274"/>
      <c r="IRH422" s="274"/>
      <c r="IRI422" s="274"/>
      <c r="IRJ422" s="274"/>
      <c r="IRK422" s="274"/>
      <c r="IRL422" s="274"/>
      <c r="IRM422" s="274"/>
      <c r="IRN422" s="274"/>
      <c r="IRO422" s="274"/>
      <c r="IRP422" s="274"/>
      <c r="IRQ422" s="274"/>
      <c r="IRR422" s="274"/>
      <c r="IRS422" s="274"/>
      <c r="IRT422" s="274"/>
      <c r="IRU422" s="274"/>
      <c r="IRV422" s="274"/>
      <c r="IRW422" s="274"/>
      <c r="IRX422" s="274"/>
      <c r="IRY422" s="274"/>
      <c r="IRZ422" s="274"/>
      <c r="ISA422" s="274"/>
      <c r="ISB422" s="274"/>
      <c r="ISC422" s="274"/>
      <c r="ISD422" s="274"/>
      <c r="ISE422" s="274"/>
      <c r="ISF422" s="274"/>
      <c r="ISG422" s="274"/>
      <c r="ISH422" s="274"/>
      <c r="ISI422" s="274"/>
      <c r="ISJ422" s="274"/>
      <c r="ISK422" s="274"/>
      <c r="ISL422" s="274"/>
      <c r="ISM422" s="274"/>
      <c r="ISN422" s="274"/>
      <c r="ISO422" s="274"/>
      <c r="ISP422" s="274"/>
      <c r="ISQ422" s="274"/>
      <c r="ISR422" s="274"/>
      <c r="ISS422" s="274"/>
      <c r="IST422" s="274"/>
      <c r="ISU422" s="274"/>
      <c r="ISV422" s="274"/>
      <c r="ISW422" s="274"/>
      <c r="ISX422" s="274"/>
      <c r="ISY422" s="274"/>
      <c r="ISZ422" s="274"/>
      <c r="ITA422" s="274"/>
      <c r="ITB422" s="274"/>
      <c r="ITC422" s="274"/>
      <c r="ITD422" s="274"/>
      <c r="ITE422" s="274"/>
      <c r="ITF422" s="274"/>
      <c r="ITG422" s="274"/>
      <c r="ITH422" s="274"/>
      <c r="ITI422" s="274"/>
      <c r="ITJ422" s="274"/>
      <c r="ITK422" s="274"/>
      <c r="ITL422" s="274"/>
      <c r="ITM422" s="274"/>
      <c r="ITN422" s="274"/>
      <c r="ITO422" s="274"/>
      <c r="ITP422" s="274"/>
      <c r="ITQ422" s="274"/>
      <c r="ITR422" s="274"/>
      <c r="ITS422" s="274"/>
      <c r="ITT422" s="274"/>
      <c r="ITU422" s="274"/>
      <c r="ITV422" s="274"/>
      <c r="ITW422" s="274"/>
      <c r="ITX422" s="274"/>
      <c r="ITY422" s="274"/>
      <c r="ITZ422" s="274"/>
      <c r="IUA422" s="274"/>
      <c r="IUB422" s="274"/>
      <c r="IUC422" s="274"/>
      <c r="IUD422" s="274"/>
      <c r="IUE422" s="274"/>
      <c r="IUF422" s="274"/>
      <c r="IUG422" s="274"/>
      <c r="IUH422" s="274"/>
      <c r="IUI422" s="274"/>
      <c r="IUJ422" s="274"/>
      <c r="IUK422" s="274"/>
      <c r="IUL422" s="274"/>
      <c r="IUM422" s="274"/>
      <c r="IUN422" s="274"/>
      <c r="IUO422" s="274"/>
      <c r="IUP422" s="274"/>
      <c r="IUQ422" s="274"/>
      <c r="IUR422" s="274"/>
      <c r="IUS422" s="274"/>
      <c r="IUT422" s="274"/>
      <c r="IUU422" s="274"/>
      <c r="IUV422" s="274"/>
      <c r="IUW422" s="274"/>
      <c r="IUX422" s="274"/>
      <c r="IUY422" s="274"/>
      <c r="IUZ422" s="274"/>
      <c r="IVA422" s="274"/>
      <c r="IVB422" s="274"/>
      <c r="IVC422" s="274"/>
      <c r="IVD422" s="274"/>
      <c r="IVE422" s="274"/>
      <c r="IVF422" s="274"/>
      <c r="IVG422" s="274"/>
      <c r="IVH422" s="274"/>
      <c r="IVI422" s="274"/>
      <c r="IVJ422" s="274"/>
      <c r="IVK422" s="274"/>
      <c r="IVL422" s="274"/>
      <c r="IVM422" s="274"/>
      <c r="IVN422" s="274"/>
      <c r="IVO422" s="274"/>
      <c r="IVP422" s="274"/>
      <c r="IVQ422" s="274"/>
      <c r="IVR422" s="274"/>
      <c r="IVS422" s="274"/>
      <c r="IVT422" s="274"/>
      <c r="IVU422" s="274"/>
      <c r="IVV422" s="274"/>
      <c r="IVW422" s="274"/>
      <c r="IVX422" s="274"/>
      <c r="IVY422" s="274"/>
      <c r="IVZ422" s="274"/>
      <c r="IWA422" s="274"/>
      <c r="IWB422" s="274"/>
      <c r="IWC422" s="274"/>
      <c r="IWD422" s="274"/>
      <c r="IWE422" s="274"/>
      <c r="IWF422" s="274"/>
      <c r="IWG422" s="274"/>
      <c r="IWH422" s="274"/>
      <c r="IWI422" s="274"/>
      <c r="IWJ422" s="274"/>
      <c r="IWK422" s="274"/>
      <c r="IWL422" s="274"/>
      <c r="IWM422" s="274"/>
      <c r="IWN422" s="274"/>
      <c r="IWO422" s="274"/>
      <c r="IWP422" s="274"/>
      <c r="IWQ422" s="274"/>
      <c r="IWR422" s="274"/>
      <c r="IWS422" s="274"/>
      <c r="IWT422" s="274"/>
      <c r="IWU422" s="274"/>
      <c r="IWV422" s="274"/>
      <c r="IWW422" s="274"/>
      <c r="IWX422" s="274"/>
      <c r="IWY422" s="274"/>
      <c r="IWZ422" s="274"/>
      <c r="IXA422" s="274"/>
      <c r="IXB422" s="274"/>
      <c r="IXC422" s="274"/>
      <c r="IXD422" s="274"/>
      <c r="IXE422" s="274"/>
      <c r="IXF422" s="274"/>
      <c r="IXG422" s="274"/>
      <c r="IXH422" s="274"/>
      <c r="IXI422" s="274"/>
      <c r="IXJ422" s="274"/>
      <c r="IXK422" s="274"/>
      <c r="IXL422" s="274"/>
      <c r="IXM422" s="274"/>
      <c r="IXN422" s="274"/>
      <c r="IXO422" s="274"/>
      <c r="IXP422" s="274"/>
      <c r="IXQ422" s="274"/>
      <c r="IXR422" s="274"/>
      <c r="IXS422" s="274"/>
      <c r="IXT422" s="274"/>
      <c r="IXU422" s="274"/>
      <c r="IXV422" s="274"/>
      <c r="IXW422" s="274"/>
      <c r="IXX422" s="274"/>
      <c r="IXY422" s="274"/>
      <c r="IXZ422" s="274"/>
      <c r="IYA422" s="274"/>
      <c r="IYB422" s="274"/>
      <c r="IYC422" s="274"/>
      <c r="IYD422" s="274"/>
      <c r="IYE422" s="274"/>
      <c r="IYF422" s="274"/>
      <c r="IYG422" s="274"/>
      <c r="IYH422" s="274"/>
      <c r="IYI422" s="274"/>
      <c r="IYJ422" s="274"/>
      <c r="IYK422" s="274"/>
      <c r="IYL422" s="274"/>
      <c r="IYM422" s="274"/>
      <c r="IYN422" s="274"/>
      <c r="IYO422" s="274"/>
      <c r="IYP422" s="274"/>
      <c r="IYQ422" s="274"/>
      <c r="IYR422" s="274"/>
      <c r="IYS422" s="274"/>
      <c r="IYT422" s="274"/>
      <c r="IYU422" s="274"/>
      <c r="IYV422" s="274"/>
      <c r="IYW422" s="274"/>
      <c r="IYX422" s="274"/>
      <c r="IYY422" s="274"/>
      <c r="IYZ422" s="274"/>
      <c r="IZA422" s="274"/>
      <c r="IZB422" s="274"/>
      <c r="IZC422" s="274"/>
      <c r="IZD422" s="274"/>
      <c r="IZE422" s="274"/>
      <c r="IZF422" s="274"/>
      <c r="IZG422" s="274"/>
      <c r="IZH422" s="274"/>
      <c r="IZI422" s="274"/>
      <c r="IZJ422" s="274"/>
      <c r="IZK422" s="274"/>
      <c r="IZL422" s="274"/>
      <c r="IZM422" s="274"/>
      <c r="IZN422" s="274"/>
      <c r="IZO422" s="274"/>
      <c r="IZP422" s="274"/>
      <c r="IZQ422" s="274"/>
      <c r="IZR422" s="274"/>
      <c r="IZS422" s="274"/>
      <c r="IZT422" s="274"/>
      <c r="IZU422" s="274"/>
      <c r="IZV422" s="274"/>
      <c r="IZW422" s="274"/>
      <c r="IZX422" s="274"/>
      <c r="IZY422" s="274"/>
      <c r="IZZ422" s="274"/>
      <c r="JAA422" s="274"/>
      <c r="JAB422" s="274"/>
      <c r="JAC422" s="274"/>
      <c r="JAD422" s="274"/>
      <c r="JAE422" s="274"/>
      <c r="JAF422" s="274"/>
      <c r="JAG422" s="274"/>
      <c r="JAH422" s="274"/>
      <c r="JAI422" s="274"/>
      <c r="JAJ422" s="274"/>
      <c r="JAK422" s="274"/>
      <c r="JAL422" s="274"/>
      <c r="JAM422" s="274"/>
      <c r="JAN422" s="274"/>
      <c r="JAO422" s="274"/>
      <c r="JAP422" s="274"/>
      <c r="JAQ422" s="274"/>
      <c r="JAR422" s="274"/>
      <c r="JAS422" s="274"/>
      <c r="JAT422" s="274"/>
      <c r="JAU422" s="274"/>
      <c r="JAV422" s="274"/>
      <c r="JAW422" s="274"/>
      <c r="JAX422" s="274"/>
      <c r="JAY422" s="274"/>
      <c r="JAZ422" s="274"/>
      <c r="JBA422" s="274"/>
      <c r="JBB422" s="274"/>
      <c r="JBC422" s="274"/>
      <c r="JBD422" s="274"/>
      <c r="JBE422" s="274"/>
      <c r="JBF422" s="274"/>
      <c r="JBG422" s="274"/>
      <c r="JBH422" s="274"/>
      <c r="JBI422" s="274"/>
      <c r="JBJ422" s="274"/>
      <c r="JBK422" s="274"/>
      <c r="JBL422" s="274"/>
      <c r="JBM422" s="274"/>
      <c r="JBN422" s="274"/>
      <c r="JBO422" s="274"/>
      <c r="JBP422" s="274"/>
      <c r="JBQ422" s="274"/>
      <c r="JBR422" s="274"/>
      <c r="JBS422" s="274"/>
      <c r="JBT422" s="274"/>
      <c r="JBU422" s="274"/>
      <c r="JBV422" s="274"/>
      <c r="JBW422" s="274"/>
      <c r="JBX422" s="274"/>
      <c r="JBY422" s="274"/>
      <c r="JBZ422" s="274"/>
      <c r="JCA422" s="274"/>
      <c r="JCB422" s="274"/>
      <c r="JCC422" s="274"/>
      <c r="JCD422" s="274"/>
      <c r="JCE422" s="274"/>
      <c r="JCF422" s="274"/>
      <c r="JCG422" s="274"/>
      <c r="JCH422" s="274"/>
      <c r="JCI422" s="274"/>
      <c r="JCJ422" s="274"/>
      <c r="JCK422" s="274"/>
      <c r="JCL422" s="274"/>
      <c r="JCM422" s="274"/>
      <c r="JCN422" s="274"/>
      <c r="JCO422" s="274"/>
      <c r="JCP422" s="274"/>
      <c r="JCQ422" s="274"/>
      <c r="JCR422" s="274"/>
      <c r="JCS422" s="274"/>
      <c r="JCT422" s="274"/>
      <c r="JCU422" s="274"/>
      <c r="JCV422" s="274"/>
      <c r="JCW422" s="274"/>
      <c r="JCX422" s="274"/>
      <c r="JCY422" s="274"/>
      <c r="JCZ422" s="274"/>
      <c r="JDA422" s="274"/>
      <c r="JDB422" s="274"/>
      <c r="JDC422" s="274"/>
      <c r="JDD422" s="274"/>
      <c r="JDE422" s="274"/>
      <c r="JDF422" s="274"/>
      <c r="JDG422" s="274"/>
      <c r="JDH422" s="274"/>
      <c r="JDI422" s="274"/>
      <c r="JDJ422" s="274"/>
      <c r="JDK422" s="274"/>
      <c r="JDL422" s="274"/>
      <c r="JDM422" s="274"/>
      <c r="JDN422" s="274"/>
      <c r="JDO422" s="274"/>
      <c r="JDP422" s="274"/>
      <c r="JDQ422" s="274"/>
      <c r="JDR422" s="274"/>
      <c r="JDS422" s="274"/>
      <c r="JDT422" s="274"/>
      <c r="JDU422" s="274"/>
      <c r="JDV422" s="274"/>
      <c r="JDW422" s="274"/>
      <c r="JDX422" s="274"/>
      <c r="JDY422" s="274"/>
      <c r="JDZ422" s="274"/>
      <c r="JEA422" s="274"/>
      <c r="JEB422" s="274"/>
      <c r="JEC422" s="274"/>
      <c r="JED422" s="274"/>
      <c r="JEE422" s="274"/>
      <c r="JEF422" s="274"/>
      <c r="JEG422" s="274"/>
      <c r="JEH422" s="274"/>
      <c r="JEI422" s="274"/>
      <c r="JEJ422" s="274"/>
      <c r="JEK422" s="274"/>
      <c r="JEL422" s="274"/>
      <c r="JEM422" s="274"/>
      <c r="JEN422" s="274"/>
      <c r="JEO422" s="274"/>
      <c r="JEP422" s="274"/>
      <c r="JEQ422" s="274"/>
      <c r="JER422" s="274"/>
      <c r="JES422" s="274"/>
      <c r="JET422" s="274"/>
      <c r="JEU422" s="274"/>
      <c r="JEV422" s="274"/>
      <c r="JEW422" s="274"/>
      <c r="JEX422" s="274"/>
      <c r="JEY422" s="274"/>
      <c r="JEZ422" s="274"/>
      <c r="JFA422" s="274"/>
      <c r="JFB422" s="274"/>
      <c r="JFC422" s="274"/>
      <c r="JFD422" s="274"/>
      <c r="JFE422" s="274"/>
      <c r="JFF422" s="274"/>
      <c r="JFG422" s="274"/>
      <c r="JFH422" s="274"/>
      <c r="JFI422" s="274"/>
      <c r="JFJ422" s="274"/>
      <c r="JFK422" s="274"/>
      <c r="JFL422" s="274"/>
      <c r="JFM422" s="274"/>
      <c r="JFN422" s="274"/>
      <c r="JFO422" s="274"/>
      <c r="JFP422" s="274"/>
      <c r="JFQ422" s="274"/>
      <c r="JFR422" s="274"/>
      <c r="JFS422" s="274"/>
      <c r="JFT422" s="274"/>
      <c r="JFU422" s="274"/>
      <c r="JFV422" s="274"/>
      <c r="JFW422" s="274"/>
      <c r="JFX422" s="274"/>
      <c r="JFY422" s="274"/>
      <c r="JFZ422" s="274"/>
      <c r="JGA422" s="274"/>
      <c r="JGB422" s="274"/>
      <c r="JGC422" s="274"/>
      <c r="JGD422" s="274"/>
      <c r="JGE422" s="274"/>
      <c r="JGF422" s="274"/>
      <c r="JGG422" s="274"/>
      <c r="JGH422" s="274"/>
      <c r="JGI422" s="274"/>
      <c r="JGJ422" s="274"/>
      <c r="JGK422" s="274"/>
      <c r="JGL422" s="274"/>
      <c r="JGM422" s="274"/>
      <c r="JGN422" s="274"/>
      <c r="JGO422" s="274"/>
      <c r="JGP422" s="274"/>
      <c r="JGQ422" s="274"/>
      <c r="JGR422" s="274"/>
      <c r="JGS422" s="274"/>
      <c r="JGT422" s="274"/>
      <c r="JGU422" s="274"/>
      <c r="JGV422" s="274"/>
      <c r="JGW422" s="274"/>
      <c r="JGX422" s="274"/>
      <c r="JGY422" s="274"/>
      <c r="JGZ422" s="274"/>
      <c r="JHA422" s="274"/>
      <c r="JHB422" s="274"/>
      <c r="JHC422" s="274"/>
      <c r="JHD422" s="274"/>
      <c r="JHE422" s="274"/>
      <c r="JHF422" s="274"/>
      <c r="JHG422" s="274"/>
      <c r="JHH422" s="274"/>
      <c r="JHI422" s="274"/>
      <c r="JHJ422" s="274"/>
      <c r="JHK422" s="274"/>
      <c r="JHL422" s="274"/>
      <c r="JHM422" s="274"/>
      <c r="JHN422" s="274"/>
      <c r="JHO422" s="274"/>
      <c r="JHP422" s="274"/>
      <c r="JHQ422" s="274"/>
      <c r="JHR422" s="274"/>
      <c r="JHS422" s="274"/>
      <c r="JHT422" s="274"/>
      <c r="JHU422" s="274"/>
      <c r="JHV422" s="274"/>
      <c r="JHW422" s="274"/>
      <c r="JHX422" s="274"/>
      <c r="JHY422" s="274"/>
      <c r="JHZ422" s="274"/>
      <c r="JIA422" s="274"/>
      <c r="JIB422" s="274"/>
      <c r="JIC422" s="274"/>
      <c r="JID422" s="274"/>
      <c r="JIE422" s="274"/>
      <c r="JIF422" s="274"/>
      <c r="JIG422" s="274"/>
      <c r="JIH422" s="274"/>
      <c r="JII422" s="274"/>
      <c r="JIJ422" s="274"/>
      <c r="JIK422" s="274"/>
      <c r="JIL422" s="274"/>
      <c r="JIM422" s="274"/>
      <c r="JIN422" s="274"/>
      <c r="JIO422" s="274"/>
      <c r="JIP422" s="274"/>
      <c r="JIQ422" s="274"/>
      <c r="JIR422" s="274"/>
      <c r="JIS422" s="274"/>
      <c r="JIT422" s="274"/>
      <c r="JIU422" s="274"/>
      <c r="JIV422" s="274"/>
      <c r="JIW422" s="274"/>
      <c r="JIX422" s="274"/>
      <c r="JIY422" s="274"/>
      <c r="JIZ422" s="274"/>
      <c r="JJA422" s="274"/>
      <c r="JJB422" s="274"/>
      <c r="JJC422" s="274"/>
      <c r="JJD422" s="274"/>
      <c r="JJE422" s="274"/>
      <c r="JJF422" s="274"/>
      <c r="JJG422" s="274"/>
      <c r="JJH422" s="274"/>
      <c r="JJI422" s="274"/>
      <c r="JJJ422" s="274"/>
      <c r="JJK422" s="274"/>
      <c r="JJL422" s="274"/>
      <c r="JJM422" s="274"/>
      <c r="JJN422" s="274"/>
      <c r="JJO422" s="274"/>
      <c r="JJP422" s="274"/>
      <c r="JJQ422" s="274"/>
      <c r="JJR422" s="274"/>
      <c r="JJS422" s="274"/>
      <c r="JJT422" s="274"/>
      <c r="JJU422" s="274"/>
      <c r="JJV422" s="274"/>
      <c r="JJW422" s="274"/>
      <c r="JJX422" s="274"/>
      <c r="JJY422" s="274"/>
      <c r="JJZ422" s="274"/>
      <c r="JKA422" s="274"/>
      <c r="JKB422" s="274"/>
      <c r="JKC422" s="274"/>
      <c r="JKD422" s="274"/>
      <c r="JKE422" s="274"/>
      <c r="JKF422" s="274"/>
      <c r="JKG422" s="274"/>
      <c r="JKH422" s="274"/>
      <c r="JKI422" s="274"/>
      <c r="JKJ422" s="274"/>
      <c r="JKK422" s="274"/>
      <c r="JKL422" s="274"/>
      <c r="JKM422" s="274"/>
      <c r="JKN422" s="274"/>
      <c r="JKO422" s="274"/>
      <c r="JKP422" s="274"/>
      <c r="JKQ422" s="274"/>
      <c r="JKR422" s="274"/>
      <c r="JKS422" s="274"/>
      <c r="JKT422" s="274"/>
      <c r="JKU422" s="274"/>
      <c r="JKV422" s="274"/>
      <c r="JKW422" s="274"/>
      <c r="JKX422" s="274"/>
      <c r="JKY422" s="274"/>
      <c r="JKZ422" s="274"/>
      <c r="JLA422" s="274"/>
      <c r="JLB422" s="274"/>
      <c r="JLC422" s="274"/>
      <c r="JLD422" s="274"/>
      <c r="JLE422" s="274"/>
      <c r="JLF422" s="274"/>
      <c r="JLG422" s="274"/>
      <c r="JLH422" s="274"/>
      <c r="JLI422" s="274"/>
      <c r="JLJ422" s="274"/>
      <c r="JLK422" s="274"/>
      <c r="JLL422" s="274"/>
      <c r="JLM422" s="274"/>
      <c r="JLN422" s="274"/>
      <c r="JLO422" s="274"/>
      <c r="JLP422" s="274"/>
      <c r="JLQ422" s="274"/>
      <c r="JLR422" s="274"/>
      <c r="JLS422" s="274"/>
      <c r="JLT422" s="274"/>
      <c r="JLU422" s="274"/>
      <c r="JLV422" s="274"/>
      <c r="JLW422" s="274"/>
      <c r="JLX422" s="274"/>
      <c r="JLY422" s="274"/>
      <c r="JLZ422" s="274"/>
      <c r="JMA422" s="274"/>
      <c r="JMB422" s="274"/>
      <c r="JMC422" s="274"/>
      <c r="JMD422" s="274"/>
      <c r="JME422" s="274"/>
      <c r="JMF422" s="274"/>
      <c r="JMG422" s="274"/>
      <c r="JMH422" s="274"/>
      <c r="JMI422" s="274"/>
      <c r="JMJ422" s="274"/>
      <c r="JMK422" s="274"/>
      <c r="JML422" s="274"/>
      <c r="JMM422" s="274"/>
      <c r="JMN422" s="274"/>
      <c r="JMO422" s="274"/>
      <c r="JMP422" s="274"/>
      <c r="JMQ422" s="274"/>
      <c r="JMR422" s="274"/>
      <c r="JMS422" s="274"/>
      <c r="JMT422" s="274"/>
      <c r="JMU422" s="274"/>
      <c r="JMV422" s="274"/>
      <c r="JMW422" s="274"/>
      <c r="JMX422" s="274"/>
      <c r="JMY422" s="274"/>
      <c r="JMZ422" s="274"/>
      <c r="JNA422" s="274"/>
      <c r="JNB422" s="274"/>
      <c r="JNC422" s="274"/>
      <c r="JND422" s="274"/>
      <c r="JNE422" s="274"/>
      <c r="JNF422" s="274"/>
      <c r="JNG422" s="274"/>
      <c r="JNH422" s="274"/>
      <c r="JNI422" s="274"/>
      <c r="JNJ422" s="274"/>
      <c r="JNK422" s="274"/>
      <c r="JNL422" s="274"/>
      <c r="JNM422" s="274"/>
      <c r="JNN422" s="274"/>
      <c r="JNO422" s="274"/>
      <c r="JNP422" s="274"/>
      <c r="JNQ422" s="274"/>
      <c r="JNR422" s="274"/>
      <c r="JNS422" s="274"/>
      <c r="JNT422" s="274"/>
      <c r="JNU422" s="274"/>
      <c r="JNV422" s="274"/>
      <c r="JNW422" s="274"/>
      <c r="JNX422" s="274"/>
      <c r="JNY422" s="274"/>
      <c r="JNZ422" s="274"/>
      <c r="JOA422" s="274"/>
      <c r="JOB422" s="274"/>
      <c r="JOC422" s="274"/>
      <c r="JOD422" s="274"/>
      <c r="JOE422" s="274"/>
      <c r="JOF422" s="274"/>
      <c r="JOG422" s="274"/>
      <c r="JOH422" s="274"/>
      <c r="JOI422" s="274"/>
      <c r="JOJ422" s="274"/>
      <c r="JOK422" s="274"/>
      <c r="JOL422" s="274"/>
      <c r="JOM422" s="274"/>
      <c r="JON422" s="274"/>
      <c r="JOO422" s="274"/>
      <c r="JOP422" s="274"/>
      <c r="JOQ422" s="274"/>
      <c r="JOR422" s="274"/>
      <c r="JOS422" s="274"/>
      <c r="JOT422" s="274"/>
      <c r="JOU422" s="274"/>
      <c r="JOV422" s="274"/>
      <c r="JOW422" s="274"/>
      <c r="JOX422" s="274"/>
      <c r="JOY422" s="274"/>
      <c r="JOZ422" s="274"/>
      <c r="JPA422" s="274"/>
      <c r="JPB422" s="274"/>
      <c r="JPC422" s="274"/>
      <c r="JPD422" s="274"/>
      <c r="JPE422" s="274"/>
      <c r="JPF422" s="274"/>
      <c r="JPG422" s="274"/>
      <c r="JPH422" s="274"/>
      <c r="JPI422" s="274"/>
      <c r="JPJ422" s="274"/>
      <c r="JPK422" s="274"/>
      <c r="JPL422" s="274"/>
      <c r="JPM422" s="274"/>
      <c r="JPN422" s="274"/>
      <c r="JPO422" s="274"/>
      <c r="JPP422" s="274"/>
      <c r="JPQ422" s="274"/>
      <c r="JPR422" s="274"/>
      <c r="JPS422" s="274"/>
      <c r="JPT422" s="274"/>
      <c r="JPU422" s="274"/>
      <c r="JPV422" s="274"/>
      <c r="JPW422" s="274"/>
      <c r="JPX422" s="274"/>
      <c r="JPY422" s="274"/>
      <c r="JPZ422" s="274"/>
      <c r="JQA422" s="274"/>
      <c r="JQB422" s="274"/>
      <c r="JQC422" s="274"/>
      <c r="JQD422" s="274"/>
      <c r="JQE422" s="274"/>
      <c r="JQF422" s="274"/>
      <c r="JQG422" s="274"/>
      <c r="JQH422" s="274"/>
      <c r="JQI422" s="274"/>
      <c r="JQJ422" s="274"/>
      <c r="JQK422" s="274"/>
      <c r="JQL422" s="274"/>
      <c r="JQM422" s="274"/>
      <c r="JQN422" s="274"/>
      <c r="JQO422" s="274"/>
      <c r="JQP422" s="274"/>
      <c r="JQQ422" s="274"/>
      <c r="JQR422" s="274"/>
      <c r="JQS422" s="274"/>
      <c r="JQT422" s="274"/>
      <c r="JQU422" s="274"/>
      <c r="JQV422" s="274"/>
      <c r="JQW422" s="274"/>
      <c r="JQX422" s="274"/>
      <c r="JQY422" s="274"/>
      <c r="JQZ422" s="274"/>
      <c r="JRA422" s="274"/>
      <c r="JRB422" s="274"/>
      <c r="JRC422" s="274"/>
      <c r="JRD422" s="274"/>
      <c r="JRE422" s="274"/>
      <c r="JRF422" s="274"/>
      <c r="JRG422" s="274"/>
      <c r="JRH422" s="274"/>
      <c r="JRI422" s="274"/>
      <c r="JRJ422" s="274"/>
      <c r="JRK422" s="274"/>
      <c r="JRL422" s="274"/>
      <c r="JRM422" s="274"/>
      <c r="JRN422" s="274"/>
      <c r="JRO422" s="274"/>
      <c r="JRP422" s="274"/>
      <c r="JRQ422" s="274"/>
      <c r="JRR422" s="274"/>
      <c r="JRS422" s="274"/>
      <c r="JRT422" s="274"/>
      <c r="JRU422" s="274"/>
      <c r="JRV422" s="274"/>
      <c r="JRW422" s="274"/>
      <c r="JRX422" s="274"/>
      <c r="JRY422" s="274"/>
      <c r="JRZ422" s="274"/>
      <c r="JSA422" s="274"/>
      <c r="JSB422" s="274"/>
      <c r="JSC422" s="274"/>
      <c r="JSD422" s="274"/>
      <c r="JSE422" s="274"/>
      <c r="JSF422" s="274"/>
      <c r="JSG422" s="274"/>
      <c r="JSH422" s="274"/>
      <c r="JSI422" s="274"/>
      <c r="JSJ422" s="274"/>
      <c r="JSK422" s="274"/>
      <c r="JSL422" s="274"/>
      <c r="JSM422" s="274"/>
      <c r="JSN422" s="274"/>
      <c r="JSO422" s="274"/>
      <c r="JSP422" s="274"/>
      <c r="JSQ422" s="274"/>
      <c r="JSR422" s="274"/>
      <c r="JSS422" s="274"/>
      <c r="JST422" s="274"/>
      <c r="JSU422" s="274"/>
      <c r="JSV422" s="274"/>
      <c r="JSW422" s="274"/>
      <c r="JSX422" s="274"/>
      <c r="JSY422" s="274"/>
      <c r="JSZ422" s="274"/>
      <c r="JTA422" s="274"/>
      <c r="JTB422" s="274"/>
      <c r="JTC422" s="274"/>
      <c r="JTD422" s="274"/>
      <c r="JTE422" s="274"/>
      <c r="JTF422" s="274"/>
      <c r="JTG422" s="274"/>
      <c r="JTH422" s="274"/>
      <c r="JTI422" s="274"/>
      <c r="JTJ422" s="274"/>
      <c r="JTK422" s="274"/>
      <c r="JTL422" s="274"/>
      <c r="JTM422" s="274"/>
      <c r="JTN422" s="274"/>
      <c r="JTO422" s="274"/>
      <c r="JTP422" s="274"/>
      <c r="JTQ422" s="274"/>
      <c r="JTR422" s="274"/>
      <c r="JTS422" s="274"/>
      <c r="JTT422" s="274"/>
      <c r="JTU422" s="274"/>
      <c r="JTV422" s="274"/>
      <c r="JTW422" s="274"/>
      <c r="JTX422" s="274"/>
      <c r="JTY422" s="274"/>
      <c r="JTZ422" s="274"/>
      <c r="JUA422" s="274"/>
      <c r="JUB422" s="274"/>
      <c r="JUC422" s="274"/>
      <c r="JUD422" s="274"/>
      <c r="JUE422" s="274"/>
      <c r="JUF422" s="274"/>
      <c r="JUG422" s="274"/>
      <c r="JUH422" s="274"/>
      <c r="JUI422" s="274"/>
      <c r="JUJ422" s="274"/>
      <c r="JUK422" s="274"/>
      <c r="JUL422" s="274"/>
      <c r="JUM422" s="274"/>
      <c r="JUN422" s="274"/>
      <c r="JUO422" s="274"/>
      <c r="JUP422" s="274"/>
      <c r="JUQ422" s="274"/>
      <c r="JUR422" s="274"/>
      <c r="JUS422" s="274"/>
      <c r="JUT422" s="274"/>
      <c r="JUU422" s="274"/>
      <c r="JUV422" s="274"/>
      <c r="JUW422" s="274"/>
      <c r="JUX422" s="274"/>
      <c r="JUY422" s="274"/>
      <c r="JUZ422" s="274"/>
      <c r="JVA422" s="274"/>
      <c r="JVB422" s="274"/>
      <c r="JVC422" s="274"/>
      <c r="JVD422" s="274"/>
      <c r="JVE422" s="274"/>
      <c r="JVF422" s="274"/>
      <c r="JVG422" s="274"/>
      <c r="JVH422" s="274"/>
      <c r="JVI422" s="274"/>
      <c r="JVJ422" s="274"/>
      <c r="JVK422" s="274"/>
      <c r="JVL422" s="274"/>
      <c r="JVM422" s="274"/>
      <c r="JVN422" s="274"/>
      <c r="JVO422" s="274"/>
      <c r="JVP422" s="274"/>
      <c r="JVQ422" s="274"/>
      <c r="JVR422" s="274"/>
      <c r="JVS422" s="274"/>
      <c r="JVT422" s="274"/>
      <c r="JVU422" s="274"/>
      <c r="JVV422" s="274"/>
      <c r="JVW422" s="274"/>
      <c r="JVX422" s="274"/>
      <c r="JVY422" s="274"/>
      <c r="JVZ422" s="274"/>
      <c r="JWA422" s="274"/>
      <c r="JWB422" s="274"/>
      <c r="JWC422" s="274"/>
      <c r="JWD422" s="274"/>
      <c r="JWE422" s="274"/>
      <c r="JWF422" s="274"/>
      <c r="JWG422" s="274"/>
      <c r="JWH422" s="274"/>
      <c r="JWI422" s="274"/>
      <c r="JWJ422" s="274"/>
      <c r="JWK422" s="274"/>
      <c r="JWL422" s="274"/>
      <c r="JWM422" s="274"/>
      <c r="JWN422" s="274"/>
      <c r="JWO422" s="274"/>
      <c r="JWP422" s="274"/>
      <c r="JWQ422" s="274"/>
      <c r="JWR422" s="274"/>
      <c r="JWS422" s="274"/>
      <c r="JWT422" s="274"/>
      <c r="JWU422" s="274"/>
      <c r="JWV422" s="274"/>
      <c r="JWW422" s="274"/>
      <c r="JWX422" s="274"/>
      <c r="JWY422" s="274"/>
      <c r="JWZ422" s="274"/>
      <c r="JXA422" s="274"/>
      <c r="JXB422" s="274"/>
      <c r="JXC422" s="274"/>
      <c r="JXD422" s="274"/>
      <c r="JXE422" s="274"/>
      <c r="JXF422" s="274"/>
      <c r="JXG422" s="274"/>
      <c r="JXH422" s="274"/>
      <c r="JXI422" s="274"/>
      <c r="JXJ422" s="274"/>
      <c r="JXK422" s="274"/>
      <c r="JXL422" s="274"/>
      <c r="JXM422" s="274"/>
      <c r="JXN422" s="274"/>
      <c r="JXO422" s="274"/>
      <c r="JXP422" s="274"/>
      <c r="JXQ422" s="274"/>
      <c r="JXR422" s="274"/>
      <c r="JXS422" s="274"/>
      <c r="JXT422" s="274"/>
      <c r="JXU422" s="274"/>
      <c r="JXV422" s="274"/>
      <c r="JXW422" s="274"/>
      <c r="JXX422" s="274"/>
      <c r="JXY422" s="274"/>
      <c r="JXZ422" s="274"/>
      <c r="JYA422" s="274"/>
      <c r="JYB422" s="274"/>
      <c r="JYC422" s="274"/>
      <c r="JYD422" s="274"/>
      <c r="JYE422" s="274"/>
      <c r="JYF422" s="274"/>
      <c r="JYG422" s="274"/>
      <c r="JYH422" s="274"/>
      <c r="JYI422" s="274"/>
      <c r="JYJ422" s="274"/>
      <c r="JYK422" s="274"/>
      <c r="JYL422" s="274"/>
      <c r="JYM422" s="274"/>
      <c r="JYN422" s="274"/>
      <c r="JYO422" s="274"/>
      <c r="JYP422" s="274"/>
      <c r="JYQ422" s="274"/>
      <c r="JYR422" s="274"/>
      <c r="JYS422" s="274"/>
      <c r="JYT422" s="274"/>
      <c r="JYU422" s="274"/>
      <c r="JYV422" s="274"/>
      <c r="JYW422" s="274"/>
      <c r="JYX422" s="274"/>
      <c r="JYY422" s="274"/>
      <c r="JYZ422" s="274"/>
      <c r="JZA422" s="274"/>
      <c r="JZB422" s="274"/>
      <c r="JZC422" s="274"/>
      <c r="JZD422" s="274"/>
      <c r="JZE422" s="274"/>
      <c r="JZF422" s="274"/>
      <c r="JZG422" s="274"/>
      <c r="JZH422" s="274"/>
      <c r="JZI422" s="274"/>
      <c r="JZJ422" s="274"/>
      <c r="JZK422" s="274"/>
      <c r="JZL422" s="274"/>
      <c r="JZM422" s="274"/>
      <c r="JZN422" s="274"/>
      <c r="JZO422" s="274"/>
      <c r="JZP422" s="274"/>
      <c r="JZQ422" s="274"/>
      <c r="JZR422" s="274"/>
      <c r="JZS422" s="274"/>
      <c r="JZT422" s="274"/>
      <c r="JZU422" s="274"/>
      <c r="JZV422" s="274"/>
      <c r="JZW422" s="274"/>
      <c r="JZX422" s="274"/>
      <c r="JZY422" s="274"/>
      <c r="JZZ422" s="274"/>
      <c r="KAA422" s="274"/>
      <c r="KAB422" s="274"/>
      <c r="KAC422" s="274"/>
      <c r="KAD422" s="274"/>
      <c r="KAE422" s="274"/>
      <c r="KAF422" s="274"/>
      <c r="KAG422" s="274"/>
      <c r="KAH422" s="274"/>
      <c r="KAI422" s="274"/>
      <c r="KAJ422" s="274"/>
      <c r="KAK422" s="274"/>
      <c r="KAL422" s="274"/>
      <c r="KAM422" s="274"/>
      <c r="KAN422" s="274"/>
      <c r="KAO422" s="274"/>
      <c r="KAP422" s="274"/>
      <c r="KAQ422" s="274"/>
      <c r="KAR422" s="274"/>
      <c r="KAS422" s="274"/>
      <c r="KAT422" s="274"/>
      <c r="KAU422" s="274"/>
      <c r="KAV422" s="274"/>
      <c r="KAW422" s="274"/>
      <c r="KAX422" s="274"/>
      <c r="KAY422" s="274"/>
      <c r="KAZ422" s="274"/>
      <c r="KBA422" s="274"/>
      <c r="KBB422" s="274"/>
      <c r="KBC422" s="274"/>
      <c r="KBD422" s="274"/>
      <c r="KBE422" s="274"/>
      <c r="KBF422" s="274"/>
      <c r="KBG422" s="274"/>
      <c r="KBH422" s="274"/>
      <c r="KBI422" s="274"/>
      <c r="KBJ422" s="274"/>
      <c r="KBK422" s="274"/>
      <c r="KBL422" s="274"/>
      <c r="KBM422" s="274"/>
      <c r="KBN422" s="274"/>
      <c r="KBO422" s="274"/>
      <c r="KBP422" s="274"/>
      <c r="KBQ422" s="274"/>
      <c r="KBR422" s="274"/>
      <c r="KBS422" s="274"/>
      <c r="KBT422" s="274"/>
      <c r="KBU422" s="274"/>
      <c r="KBV422" s="274"/>
      <c r="KBW422" s="274"/>
      <c r="KBX422" s="274"/>
      <c r="KBY422" s="274"/>
      <c r="KBZ422" s="274"/>
      <c r="KCA422" s="274"/>
      <c r="KCB422" s="274"/>
      <c r="KCC422" s="274"/>
      <c r="KCD422" s="274"/>
      <c r="KCE422" s="274"/>
      <c r="KCF422" s="274"/>
      <c r="KCG422" s="274"/>
      <c r="KCH422" s="274"/>
      <c r="KCI422" s="274"/>
      <c r="KCJ422" s="274"/>
      <c r="KCK422" s="274"/>
      <c r="KCL422" s="274"/>
      <c r="KCM422" s="274"/>
      <c r="KCN422" s="274"/>
      <c r="KCO422" s="274"/>
      <c r="KCP422" s="274"/>
      <c r="KCQ422" s="274"/>
      <c r="KCR422" s="274"/>
      <c r="KCS422" s="274"/>
      <c r="KCT422" s="274"/>
      <c r="KCU422" s="274"/>
      <c r="KCV422" s="274"/>
      <c r="KCW422" s="274"/>
      <c r="KCX422" s="274"/>
      <c r="KCY422" s="274"/>
      <c r="KCZ422" s="274"/>
      <c r="KDA422" s="274"/>
      <c r="KDB422" s="274"/>
      <c r="KDC422" s="274"/>
      <c r="KDD422" s="274"/>
      <c r="KDE422" s="274"/>
      <c r="KDF422" s="274"/>
      <c r="KDG422" s="274"/>
      <c r="KDH422" s="274"/>
      <c r="KDI422" s="274"/>
      <c r="KDJ422" s="274"/>
      <c r="KDK422" s="274"/>
      <c r="KDL422" s="274"/>
      <c r="KDM422" s="274"/>
      <c r="KDN422" s="274"/>
      <c r="KDO422" s="274"/>
      <c r="KDP422" s="274"/>
      <c r="KDQ422" s="274"/>
      <c r="KDR422" s="274"/>
      <c r="KDS422" s="274"/>
      <c r="KDT422" s="274"/>
      <c r="KDU422" s="274"/>
      <c r="KDV422" s="274"/>
      <c r="KDW422" s="274"/>
      <c r="KDX422" s="274"/>
      <c r="KDY422" s="274"/>
      <c r="KDZ422" s="274"/>
      <c r="KEA422" s="274"/>
      <c r="KEB422" s="274"/>
      <c r="KEC422" s="274"/>
      <c r="KED422" s="274"/>
      <c r="KEE422" s="274"/>
      <c r="KEF422" s="274"/>
      <c r="KEG422" s="274"/>
      <c r="KEH422" s="274"/>
      <c r="KEI422" s="274"/>
      <c r="KEJ422" s="274"/>
      <c r="KEK422" s="274"/>
      <c r="KEL422" s="274"/>
      <c r="KEM422" s="274"/>
      <c r="KEN422" s="274"/>
      <c r="KEO422" s="274"/>
      <c r="KEP422" s="274"/>
      <c r="KEQ422" s="274"/>
      <c r="KER422" s="274"/>
      <c r="KES422" s="274"/>
      <c r="KET422" s="274"/>
      <c r="KEU422" s="274"/>
      <c r="KEV422" s="274"/>
      <c r="KEW422" s="274"/>
      <c r="KEX422" s="274"/>
      <c r="KEY422" s="274"/>
      <c r="KEZ422" s="274"/>
      <c r="KFA422" s="274"/>
      <c r="KFB422" s="274"/>
      <c r="KFC422" s="274"/>
      <c r="KFD422" s="274"/>
      <c r="KFE422" s="274"/>
      <c r="KFF422" s="274"/>
      <c r="KFG422" s="274"/>
      <c r="KFH422" s="274"/>
      <c r="KFI422" s="274"/>
      <c r="KFJ422" s="274"/>
      <c r="KFK422" s="274"/>
      <c r="KFL422" s="274"/>
      <c r="KFM422" s="274"/>
      <c r="KFN422" s="274"/>
      <c r="KFO422" s="274"/>
      <c r="KFP422" s="274"/>
      <c r="KFQ422" s="274"/>
      <c r="KFR422" s="274"/>
      <c r="KFS422" s="274"/>
      <c r="KFT422" s="274"/>
      <c r="KFU422" s="274"/>
      <c r="KFV422" s="274"/>
      <c r="KFW422" s="274"/>
      <c r="KFX422" s="274"/>
      <c r="KFY422" s="274"/>
      <c r="KFZ422" s="274"/>
      <c r="KGA422" s="274"/>
      <c r="KGB422" s="274"/>
      <c r="KGC422" s="274"/>
      <c r="KGD422" s="274"/>
      <c r="KGE422" s="274"/>
      <c r="KGF422" s="274"/>
      <c r="KGG422" s="274"/>
      <c r="KGH422" s="274"/>
      <c r="KGI422" s="274"/>
      <c r="KGJ422" s="274"/>
      <c r="KGK422" s="274"/>
      <c r="KGL422" s="274"/>
      <c r="KGM422" s="274"/>
      <c r="KGN422" s="274"/>
      <c r="KGO422" s="274"/>
      <c r="KGP422" s="274"/>
      <c r="KGQ422" s="274"/>
      <c r="KGR422" s="274"/>
      <c r="KGS422" s="274"/>
      <c r="KGT422" s="274"/>
      <c r="KGU422" s="274"/>
      <c r="KGV422" s="274"/>
      <c r="KGW422" s="274"/>
      <c r="KGX422" s="274"/>
      <c r="KGY422" s="274"/>
      <c r="KGZ422" s="274"/>
      <c r="KHA422" s="274"/>
      <c r="KHB422" s="274"/>
      <c r="KHC422" s="274"/>
      <c r="KHD422" s="274"/>
      <c r="KHE422" s="274"/>
      <c r="KHF422" s="274"/>
      <c r="KHG422" s="274"/>
      <c r="KHH422" s="274"/>
      <c r="KHI422" s="274"/>
      <c r="KHJ422" s="274"/>
      <c r="KHK422" s="274"/>
      <c r="KHL422" s="274"/>
      <c r="KHM422" s="274"/>
      <c r="KHN422" s="274"/>
      <c r="KHO422" s="274"/>
      <c r="KHP422" s="274"/>
      <c r="KHQ422" s="274"/>
      <c r="KHR422" s="274"/>
      <c r="KHS422" s="274"/>
      <c r="KHT422" s="274"/>
      <c r="KHU422" s="274"/>
      <c r="KHV422" s="274"/>
      <c r="KHW422" s="274"/>
      <c r="KHX422" s="274"/>
      <c r="KHY422" s="274"/>
      <c r="KHZ422" s="274"/>
      <c r="KIA422" s="274"/>
      <c r="KIB422" s="274"/>
      <c r="KIC422" s="274"/>
      <c r="KID422" s="274"/>
      <c r="KIE422" s="274"/>
      <c r="KIF422" s="274"/>
      <c r="KIG422" s="274"/>
      <c r="KIH422" s="274"/>
      <c r="KII422" s="274"/>
      <c r="KIJ422" s="274"/>
      <c r="KIK422" s="274"/>
      <c r="KIL422" s="274"/>
      <c r="KIM422" s="274"/>
      <c r="KIN422" s="274"/>
      <c r="KIO422" s="274"/>
      <c r="KIP422" s="274"/>
      <c r="KIQ422" s="274"/>
      <c r="KIR422" s="274"/>
      <c r="KIS422" s="274"/>
      <c r="KIT422" s="274"/>
      <c r="KIU422" s="274"/>
      <c r="KIV422" s="274"/>
      <c r="KIW422" s="274"/>
      <c r="KIX422" s="274"/>
      <c r="KIY422" s="274"/>
      <c r="KIZ422" s="274"/>
      <c r="KJA422" s="274"/>
      <c r="KJB422" s="274"/>
      <c r="KJC422" s="274"/>
      <c r="KJD422" s="274"/>
      <c r="KJE422" s="274"/>
      <c r="KJF422" s="274"/>
      <c r="KJG422" s="274"/>
      <c r="KJH422" s="274"/>
      <c r="KJI422" s="274"/>
      <c r="KJJ422" s="274"/>
      <c r="KJK422" s="274"/>
      <c r="KJL422" s="274"/>
      <c r="KJM422" s="274"/>
      <c r="KJN422" s="274"/>
      <c r="KJO422" s="274"/>
      <c r="KJP422" s="274"/>
      <c r="KJQ422" s="274"/>
      <c r="KJR422" s="274"/>
      <c r="KJS422" s="274"/>
      <c r="KJT422" s="274"/>
      <c r="KJU422" s="274"/>
      <c r="KJV422" s="274"/>
      <c r="KJW422" s="274"/>
      <c r="KJX422" s="274"/>
      <c r="KJY422" s="274"/>
      <c r="KJZ422" s="274"/>
      <c r="KKA422" s="274"/>
      <c r="KKB422" s="274"/>
      <c r="KKC422" s="274"/>
      <c r="KKD422" s="274"/>
      <c r="KKE422" s="274"/>
      <c r="KKF422" s="274"/>
      <c r="KKG422" s="274"/>
      <c r="KKH422" s="274"/>
      <c r="KKI422" s="274"/>
      <c r="KKJ422" s="274"/>
      <c r="KKK422" s="274"/>
      <c r="KKL422" s="274"/>
      <c r="KKM422" s="274"/>
      <c r="KKN422" s="274"/>
      <c r="KKO422" s="274"/>
      <c r="KKP422" s="274"/>
      <c r="KKQ422" s="274"/>
      <c r="KKR422" s="274"/>
      <c r="KKS422" s="274"/>
      <c r="KKT422" s="274"/>
      <c r="KKU422" s="274"/>
      <c r="KKV422" s="274"/>
      <c r="KKW422" s="274"/>
      <c r="KKX422" s="274"/>
      <c r="KKY422" s="274"/>
      <c r="KKZ422" s="274"/>
      <c r="KLA422" s="274"/>
      <c r="KLB422" s="274"/>
      <c r="KLC422" s="274"/>
      <c r="KLD422" s="274"/>
      <c r="KLE422" s="274"/>
      <c r="KLF422" s="274"/>
      <c r="KLG422" s="274"/>
      <c r="KLH422" s="274"/>
      <c r="KLI422" s="274"/>
      <c r="KLJ422" s="274"/>
      <c r="KLK422" s="274"/>
      <c r="KLL422" s="274"/>
      <c r="KLM422" s="274"/>
      <c r="KLN422" s="274"/>
      <c r="KLO422" s="274"/>
      <c r="KLP422" s="274"/>
      <c r="KLQ422" s="274"/>
      <c r="KLR422" s="274"/>
      <c r="KLS422" s="274"/>
      <c r="KLT422" s="274"/>
      <c r="KLU422" s="274"/>
      <c r="KLV422" s="274"/>
      <c r="KLW422" s="274"/>
      <c r="KLX422" s="274"/>
      <c r="KLY422" s="274"/>
      <c r="KLZ422" s="274"/>
      <c r="KMA422" s="274"/>
      <c r="KMB422" s="274"/>
      <c r="KMC422" s="274"/>
      <c r="KMD422" s="274"/>
      <c r="KME422" s="274"/>
      <c r="KMF422" s="274"/>
      <c r="KMG422" s="274"/>
      <c r="KMH422" s="274"/>
      <c r="KMI422" s="274"/>
      <c r="KMJ422" s="274"/>
      <c r="KMK422" s="274"/>
      <c r="KML422" s="274"/>
      <c r="KMM422" s="274"/>
      <c r="KMN422" s="274"/>
      <c r="KMO422" s="274"/>
      <c r="KMP422" s="274"/>
      <c r="KMQ422" s="274"/>
      <c r="KMR422" s="274"/>
      <c r="KMS422" s="274"/>
      <c r="KMT422" s="274"/>
      <c r="KMU422" s="274"/>
      <c r="KMV422" s="274"/>
      <c r="KMW422" s="274"/>
      <c r="KMX422" s="274"/>
      <c r="KMY422" s="274"/>
      <c r="KMZ422" s="274"/>
      <c r="KNA422" s="274"/>
      <c r="KNB422" s="274"/>
      <c r="KNC422" s="274"/>
      <c r="KND422" s="274"/>
      <c r="KNE422" s="274"/>
      <c r="KNF422" s="274"/>
      <c r="KNG422" s="274"/>
      <c r="KNH422" s="274"/>
      <c r="KNI422" s="274"/>
      <c r="KNJ422" s="274"/>
      <c r="KNK422" s="274"/>
      <c r="KNL422" s="274"/>
      <c r="KNM422" s="274"/>
      <c r="KNN422" s="274"/>
      <c r="KNO422" s="274"/>
      <c r="KNP422" s="274"/>
      <c r="KNQ422" s="274"/>
      <c r="KNR422" s="274"/>
      <c r="KNS422" s="274"/>
      <c r="KNT422" s="274"/>
      <c r="KNU422" s="274"/>
      <c r="KNV422" s="274"/>
      <c r="KNW422" s="274"/>
      <c r="KNX422" s="274"/>
      <c r="KNY422" s="274"/>
      <c r="KNZ422" s="274"/>
      <c r="KOA422" s="274"/>
      <c r="KOB422" s="274"/>
      <c r="KOC422" s="274"/>
      <c r="KOD422" s="274"/>
      <c r="KOE422" s="274"/>
      <c r="KOF422" s="274"/>
      <c r="KOG422" s="274"/>
      <c r="KOH422" s="274"/>
      <c r="KOI422" s="274"/>
      <c r="KOJ422" s="274"/>
      <c r="KOK422" s="274"/>
      <c r="KOL422" s="274"/>
      <c r="KOM422" s="274"/>
      <c r="KON422" s="274"/>
      <c r="KOO422" s="274"/>
      <c r="KOP422" s="274"/>
      <c r="KOQ422" s="274"/>
      <c r="KOR422" s="274"/>
      <c r="KOS422" s="274"/>
      <c r="KOT422" s="274"/>
      <c r="KOU422" s="274"/>
      <c r="KOV422" s="274"/>
      <c r="KOW422" s="274"/>
      <c r="KOX422" s="274"/>
      <c r="KOY422" s="274"/>
      <c r="KOZ422" s="274"/>
      <c r="KPA422" s="274"/>
      <c r="KPB422" s="274"/>
      <c r="KPC422" s="274"/>
      <c r="KPD422" s="274"/>
      <c r="KPE422" s="274"/>
      <c r="KPF422" s="274"/>
      <c r="KPG422" s="274"/>
      <c r="KPH422" s="274"/>
      <c r="KPI422" s="274"/>
      <c r="KPJ422" s="274"/>
      <c r="KPK422" s="274"/>
      <c r="KPL422" s="274"/>
      <c r="KPM422" s="274"/>
      <c r="KPN422" s="274"/>
      <c r="KPO422" s="274"/>
      <c r="KPP422" s="274"/>
      <c r="KPQ422" s="274"/>
      <c r="KPR422" s="274"/>
      <c r="KPS422" s="274"/>
      <c r="KPT422" s="274"/>
      <c r="KPU422" s="274"/>
      <c r="KPV422" s="274"/>
      <c r="KPW422" s="274"/>
      <c r="KPX422" s="274"/>
      <c r="KPY422" s="274"/>
      <c r="KPZ422" s="274"/>
      <c r="KQA422" s="274"/>
      <c r="KQB422" s="274"/>
      <c r="KQC422" s="274"/>
      <c r="KQD422" s="274"/>
      <c r="KQE422" s="274"/>
      <c r="KQF422" s="274"/>
      <c r="KQG422" s="274"/>
      <c r="KQH422" s="274"/>
      <c r="KQI422" s="274"/>
      <c r="KQJ422" s="274"/>
      <c r="KQK422" s="274"/>
      <c r="KQL422" s="274"/>
      <c r="KQM422" s="274"/>
      <c r="KQN422" s="274"/>
      <c r="KQO422" s="274"/>
      <c r="KQP422" s="274"/>
      <c r="KQQ422" s="274"/>
      <c r="KQR422" s="274"/>
      <c r="KQS422" s="274"/>
      <c r="KQT422" s="274"/>
      <c r="KQU422" s="274"/>
      <c r="KQV422" s="274"/>
      <c r="KQW422" s="274"/>
      <c r="KQX422" s="274"/>
      <c r="KQY422" s="274"/>
      <c r="KQZ422" s="274"/>
      <c r="KRA422" s="274"/>
      <c r="KRB422" s="274"/>
      <c r="KRC422" s="274"/>
      <c r="KRD422" s="274"/>
      <c r="KRE422" s="274"/>
      <c r="KRF422" s="274"/>
      <c r="KRG422" s="274"/>
      <c r="KRH422" s="274"/>
      <c r="KRI422" s="274"/>
      <c r="KRJ422" s="274"/>
      <c r="KRK422" s="274"/>
      <c r="KRL422" s="274"/>
      <c r="KRM422" s="274"/>
      <c r="KRN422" s="274"/>
      <c r="KRO422" s="274"/>
      <c r="KRP422" s="274"/>
      <c r="KRQ422" s="274"/>
      <c r="KRR422" s="274"/>
      <c r="KRS422" s="274"/>
      <c r="KRT422" s="274"/>
      <c r="KRU422" s="274"/>
      <c r="KRV422" s="274"/>
      <c r="KRW422" s="274"/>
      <c r="KRX422" s="274"/>
      <c r="KRY422" s="274"/>
      <c r="KRZ422" s="274"/>
      <c r="KSA422" s="274"/>
      <c r="KSB422" s="274"/>
      <c r="KSC422" s="274"/>
      <c r="KSD422" s="274"/>
      <c r="KSE422" s="274"/>
      <c r="KSF422" s="274"/>
      <c r="KSG422" s="274"/>
      <c r="KSH422" s="274"/>
      <c r="KSI422" s="274"/>
      <c r="KSJ422" s="274"/>
      <c r="KSK422" s="274"/>
      <c r="KSL422" s="274"/>
      <c r="KSM422" s="274"/>
      <c r="KSN422" s="274"/>
      <c r="KSO422" s="274"/>
      <c r="KSP422" s="274"/>
      <c r="KSQ422" s="274"/>
      <c r="KSR422" s="274"/>
      <c r="KSS422" s="274"/>
      <c r="KST422" s="274"/>
      <c r="KSU422" s="274"/>
      <c r="KSV422" s="274"/>
      <c r="KSW422" s="274"/>
      <c r="KSX422" s="274"/>
      <c r="KSY422" s="274"/>
      <c r="KSZ422" s="274"/>
      <c r="KTA422" s="274"/>
      <c r="KTB422" s="274"/>
      <c r="KTC422" s="274"/>
      <c r="KTD422" s="274"/>
      <c r="KTE422" s="274"/>
      <c r="KTF422" s="274"/>
      <c r="KTG422" s="274"/>
      <c r="KTH422" s="274"/>
      <c r="KTI422" s="274"/>
      <c r="KTJ422" s="274"/>
      <c r="KTK422" s="274"/>
      <c r="KTL422" s="274"/>
      <c r="KTM422" s="274"/>
      <c r="KTN422" s="274"/>
      <c r="KTO422" s="274"/>
      <c r="KTP422" s="274"/>
      <c r="KTQ422" s="274"/>
      <c r="KTR422" s="274"/>
      <c r="KTS422" s="274"/>
      <c r="KTT422" s="274"/>
      <c r="KTU422" s="274"/>
      <c r="KTV422" s="274"/>
      <c r="KTW422" s="274"/>
      <c r="KTX422" s="274"/>
      <c r="KTY422" s="274"/>
      <c r="KTZ422" s="274"/>
      <c r="KUA422" s="274"/>
      <c r="KUB422" s="274"/>
      <c r="KUC422" s="274"/>
      <c r="KUD422" s="274"/>
      <c r="KUE422" s="274"/>
      <c r="KUF422" s="274"/>
      <c r="KUG422" s="274"/>
      <c r="KUH422" s="274"/>
      <c r="KUI422" s="274"/>
      <c r="KUJ422" s="274"/>
      <c r="KUK422" s="274"/>
      <c r="KUL422" s="274"/>
      <c r="KUM422" s="274"/>
      <c r="KUN422" s="274"/>
      <c r="KUO422" s="274"/>
      <c r="KUP422" s="274"/>
      <c r="KUQ422" s="274"/>
      <c r="KUR422" s="274"/>
      <c r="KUS422" s="274"/>
      <c r="KUT422" s="274"/>
      <c r="KUU422" s="274"/>
      <c r="KUV422" s="274"/>
      <c r="KUW422" s="274"/>
      <c r="KUX422" s="274"/>
      <c r="KUY422" s="274"/>
      <c r="KUZ422" s="274"/>
      <c r="KVA422" s="274"/>
      <c r="KVB422" s="274"/>
      <c r="KVC422" s="274"/>
      <c r="KVD422" s="274"/>
      <c r="KVE422" s="274"/>
      <c r="KVF422" s="274"/>
      <c r="KVG422" s="274"/>
      <c r="KVH422" s="274"/>
      <c r="KVI422" s="274"/>
      <c r="KVJ422" s="274"/>
      <c r="KVK422" s="274"/>
      <c r="KVL422" s="274"/>
      <c r="KVM422" s="274"/>
      <c r="KVN422" s="274"/>
      <c r="KVO422" s="274"/>
      <c r="KVP422" s="274"/>
      <c r="KVQ422" s="274"/>
      <c r="KVR422" s="274"/>
      <c r="KVS422" s="274"/>
      <c r="KVT422" s="274"/>
      <c r="KVU422" s="274"/>
      <c r="KVV422" s="274"/>
      <c r="KVW422" s="274"/>
      <c r="KVX422" s="274"/>
      <c r="KVY422" s="274"/>
      <c r="KVZ422" s="274"/>
      <c r="KWA422" s="274"/>
      <c r="KWB422" s="274"/>
      <c r="KWC422" s="274"/>
      <c r="KWD422" s="274"/>
      <c r="KWE422" s="274"/>
      <c r="KWF422" s="274"/>
      <c r="KWG422" s="274"/>
      <c r="KWH422" s="274"/>
      <c r="KWI422" s="274"/>
      <c r="KWJ422" s="274"/>
      <c r="KWK422" s="274"/>
      <c r="KWL422" s="274"/>
      <c r="KWM422" s="274"/>
      <c r="KWN422" s="274"/>
      <c r="KWO422" s="274"/>
      <c r="KWP422" s="274"/>
      <c r="KWQ422" s="274"/>
      <c r="KWR422" s="274"/>
      <c r="KWS422" s="274"/>
      <c r="KWT422" s="274"/>
      <c r="KWU422" s="274"/>
      <c r="KWV422" s="274"/>
      <c r="KWW422" s="274"/>
      <c r="KWX422" s="274"/>
      <c r="KWY422" s="274"/>
      <c r="KWZ422" s="274"/>
      <c r="KXA422" s="274"/>
      <c r="KXB422" s="274"/>
      <c r="KXC422" s="274"/>
      <c r="KXD422" s="274"/>
      <c r="KXE422" s="274"/>
      <c r="KXF422" s="274"/>
      <c r="KXG422" s="274"/>
      <c r="KXH422" s="274"/>
      <c r="KXI422" s="274"/>
      <c r="KXJ422" s="274"/>
      <c r="KXK422" s="274"/>
      <c r="KXL422" s="274"/>
      <c r="KXM422" s="274"/>
      <c r="KXN422" s="274"/>
      <c r="KXO422" s="274"/>
      <c r="KXP422" s="274"/>
      <c r="KXQ422" s="274"/>
      <c r="KXR422" s="274"/>
      <c r="KXS422" s="274"/>
      <c r="KXT422" s="274"/>
      <c r="KXU422" s="274"/>
      <c r="KXV422" s="274"/>
      <c r="KXW422" s="274"/>
      <c r="KXX422" s="274"/>
      <c r="KXY422" s="274"/>
      <c r="KXZ422" s="274"/>
      <c r="KYA422" s="274"/>
      <c r="KYB422" s="274"/>
      <c r="KYC422" s="274"/>
      <c r="KYD422" s="274"/>
      <c r="KYE422" s="274"/>
      <c r="KYF422" s="274"/>
      <c r="KYG422" s="274"/>
      <c r="KYH422" s="274"/>
      <c r="KYI422" s="274"/>
      <c r="KYJ422" s="274"/>
      <c r="KYK422" s="274"/>
      <c r="KYL422" s="274"/>
      <c r="KYM422" s="274"/>
      <c r="KYN422" s="274"/>
      <c r="KYO422" s="274"/>
      <c r="KYP422" s="274"/>
      <c r="KYQ422" s="274"/>
      <c r="KYR422" s="274"/>
      <c r="KYS422" s="274"/>
      <c r="KYT422" s="274"/>
      <c r="KYU422" s="274"/>
      <c r="KYV422" s="274"/>
      <c r="KYW422" s="274"/>
      <c r="KYX422" s="274"/>
      <c r="KYY422" s="274"/>
      <c r="KYZ422" s="274"/>
      <c r="KZA422" s="274"/>
      <c r="KZB422" s="274"/>
      <c r="KZC422" s="274"/>
      <c r="KZD422" s="274"/>
      <c r="KZE422" s="274"/>
      <c r="KZF422" s="274"/>
      <c r="KZG422" s="274"/>
      <c r="KZH422" s="274"/>
      <c r="KZI422" s="274"/>
      <c r="KZJ422" s="274"/>
      <c r="KZK422" s="274"/>
      <c r="KZL422" s="274"/>
      <c r="KZM422" s="274"/>
      <c r="KZN422" s="274"/>
      <c r="KZO422" s="274"/>
      <c r="KZP422" s="274"/>
      <c r="KZQ422" s="274"/>
      <c r="KZR422" s="274"/>
      <c r="KZS422" s="274"/>
      <c r="KZT422" s="274"/>
      <c r="KZU422" s="274"/>
      <c r="KZV422" s="274"/>
      <c r="KZW422" s="274"/>
      <c r="KZX422" s="274"/>
      <c r="KZY422" s="274"/>
      <c r="KZZ422" s="274"/>
      <c r="LAA422" s="274"/>
      <c r="LAB422" s="274"/>
      <c r="LAC422" s="274"/>
      <c r="LAD422" s="274"/>
      <c r="LAE422" s="274"/>
      <c r="LAF422" s="274"/>
      <c r="LAG422" s="274"/>
      <c r="LAH422" s="274"/>
      <c r="LAI422" s="274"/>
      <c r="LAJ422" s="274"/>
      <c r="LAK422" s="274"/>
      <c r="LAL422" s="274"/>
      <c r="LAM422" s="274"/>
      <c r="LAN422" s="274"/>
      <c r="LAO422" s="274"/>
      <c r="LAP422" s="274"/>
      <c r="LAQ422" s="274"/>
      <c r="LAR422" s="274"/>
      <c r="LAS422" s="274"/>
      <c r="LAT422" s="274"/>
      <c r="LAU422" s="274"/>
      <c r="LAV422" s="274"/>
      <c r="LAW422" s="274"/>
      <c r="LAX422" s="274"/>
      <c r="LAY422" s="274"/>
      <c r="LAZ422" s="274"/>
      <c r="LBA422" s="274"/>
      <c r="LBB422" s="274"/>
      <c r="LBC422" s="274"/>
      <c r="LBD422" s="274"/>
      <c r="LBE422" s="274"/>
      <c r="LBF422" s="274"/>
      <c r="LBG422" s="274"/>
      <c r="LBH422" s="274"/>
      <c r="LBI422" s="274"/>
      <c r="LBJ422" s="274"/>
      <c r="LBK422" s="274"/>
      <c r="LBL422" s="274"/>
      <c r="LBM422" s="274"/>
      <c r="LBN422" s="274"/>
      <c r="LBO422" s="274"/>
      <c r="LBP422" s="274"/>
      <c r="LBQ422" s="274"/>
      <c r="LBR422" s="274"/>
      <c r="LBS422" s="274"/>
      <c r="LBT422" s="274"/>
      <c r="LBU422" s="274"/>
      <c r="LBV422" s="274"/>
      <c r="LBW422" s="274"/>
      <c r="LBX422" s="274"/>
      <c r="LBY422" s="274"/>
      <c r="LBZ422" s="274"/>
      <c r="LCA422" s="274"/>
      <c r="LCB422" s="274"/>
      <c r="LCC422" s="274"/>
      <c r="LCD422" s="274"/>
      <c r="LCE422" s="274"/>
      <c r="LCF422" s="274"/>
      <c r="LCG422" s="274"/>
      <c r="LCH422" s="274"/>
      <c r="LCI422" s="274"/>
      <c r="LCJ422" s="274"/>
      <c r="LCK422" s="274"/>
      <c r="LCL422" s="274"/>
      <c r="LCM422" s="274"/>
      <c r="LCN422" s="274"/>
      <c r="LCO422" s="274"/>
      <c r="LCP422" s="274"/>
      <c r="LCQ422" s="274"/>
      <c r="LCR422" s="274"/>
      <c r="LCS422" s="274"/>
      <c r="LCT422" s="274"/>
      <c r="LCU422" s="274"/>
      <c r="LCV422" s="274"/>
      <c r="LCW422" s="274"/>
      <c r="LCX422" s="274"/>
      <c r="LCY422" s="274"/>
      <c r="LCZ422" s="274"/>
      <c r="LDA422" s="274"/>
      <c r="LDB422" s="274"/>
      <c r="LDC422" s="274"/>
      <c r="LDD422" s="274"/>
      <c r="LDE422" s="274"/>
      <c r="LDF422" s="274"/>
      <c r="LDG422" s="274"/>
      <c r="LDH422" s="274"/>
      <c r="LDI422" s="274"/>
      <c r="LDJ422" s="274"/>
      <c r="LDK422" s="274"/>
      <c r="LDL422" s="274"/>
      <c r="LDM422" s="274"/>
      <c r="LDN422" s="274"/>
      <c r="LDO422" s="274"/>
      <c r="LDP422" s="274"/>
      <c r="LDQ422" s="274"/>
      <c r="LDR422" s="274"/>
      <c r="LDS422" s="274"/>
      <c r="LDT422" s="274"/>
      <c r="LDU422" s="274"/>
      <c r="LDV422" s="274"/>
      <c r="LDW422" s="274"/>
      <c r="LDX422" s="274"/>
      <c r="LDY422" s="274"/>
      <c r="LDZ422" s="274"/>
      <c r="LEA422" s="274"/>
      <c r="LEB422" s="274"/>
      <c r="LEC422" s="274"/>
      <c r="LED422" s="274"/>
      <c r="LEE422" s="274"/>
      <c r="LEF422" s="274"/>
      <c r="LEG422" s="274"/>
      <c r="LEH422" s="274"/>
      <c r="LEI422" s="274"/>
      <c r="LEJ422" s="274"/>
      <c r="LEK422" s="274"/>
      <c r="LEL422" s="274"/>
      <c r="LEM422" s="274"/>
      <c r="LEN422" s="274"/>
      <c r="LEO422" s="274"/>
      <c r="LEP422" s="274"/>
      <c r="LEQ422" s="274"/>
      <c r="LER422" s="274"/>
      <c r="LES422" s="274"/>
      <c r="LET422" s="274"/>
      <c r="LEU422" s="274"/>
      <c r="LEV422" s="274"/>
      <c r="LEW422" s="274"/>
      <c r="LEX422" s="274"/>
      <c r="LEY422" s="274"/>
      <c r="LEZ422" s="274"/>
      <c r="LFA422" s="274"/>
      <c r="LFB422" s="274"/>
      <c r="LFC422" s="274"/>
      <c r="LFD422" s="274"/>
      <c r="LFE422" s="274"/>
      <c r="LFF422" s="274"/>
      <c r="LFG422" s="274"/>
      <c r="LFH422" s="274"/>
      <c r="LFI422" s="274"/>
      <c r="LFJ422" s="274"/>
      <c r="LFK422" s="274"/>
      <c r="LFL422" s="274"/>
      <c r="LFM422" s="274"/>
      <c r="LFN422" s="274"/>
      <c r="LFO422" s="274"/>
      <c r="LFP422" s="274"/>
      <c r="LFQ422" s="274"/>
      <c r="LFR422" s="274"/>
      <c r="LFS422" s="274"/>
      <c r="LFT422" s="274"/>
      <c r="LFU422" s="274"/>
      <c r="LFV422" s="274"/>
      <c r="LFW422" s="274"/>
      <c r="LFX422" s="274"/>
      <c r="LFY422" s="274"/>
      <c r="LFZ422" s="274"/>
      <c r="LGA422" s="274"/>
      <c r="LGB422" s="274"/>
      <c r="LGC422" s="274"/>
      <c r="LGD422" s="274"/>
      <c r="LGE422" s="274"/>
      <c r="LGF422" s="274"/>
      <c r="LGG422" s="274"/>
      <c r="LGH422" s="274"/>
      <c r="LGI422" s="274"/>
      <c r="LGJ422" s="274"/>
      <c r="LGK422" s="274"/>
      <c r="LGL422" s="274"/>
      <c r="LGM422" s="274"/>
      <c r="LGN422" s="274"/>
      <c r="LGO422" s="274"/>
      <c r="LGP422" s="274"/>
      <c r="LGQ422" s="274"/>
      <c r="LGR422" s="274"/>
      <c r="LGS422" s="274"/>
      <c r="LGT422" s="274"/>
      <c r="LGU422" s="274"/>
      <c r="LGV422" s="274"/>
      <c r="LGW422" s="274"/>
      <c r="LGX422" s="274"/>
      <c r="LGY422" s="274"/>
      <c r="LGZ422" s="274"/>
      <c r="LHA422" s="274"/>
      <c r="LHB422" s="274"/>
      <c r="LHC422" s="274"/>
      <c r="LHD422" s="274"/>
      <c r="LHE422" s="274"/>
      <c r="LHF422" s="274"/>
      <c r="LHG422" s="274"/>
      <c r="LHH422" s="274"/>
      <c r="LHI422" s="274"/>
      <c r="LHJ422" s="274"/>
      <c r="LHK422" s="274"/>
      <c r="LHL422" s="274"/>
      <c r="LHM422" s="274"/>
      <c r="LHN422" s="274"/>
      <c r="LHO422" s="274"/>
      <c r="LHP422" s="274"/>
      <c r="LHQ422" s="274"/>
      <c r="LHR422" s="274"/>
      <c r="LHS422" s="274"/>
      <c r="LHT422" s="274"/>
      <c r="LHU422" s="274"/>
      <c r="LHV422" s="274"/>
      <c r="LHW422" s="274"/>
      <c r="LHX422" s="274"/>
      <c r="LHY422" s="274"/>
      <c r="LHZ422" s="274"/>
      <c r="LIA422" s="274"/>
      <c r="LIB422" s="274"/>
      <c r="LIC422" s="274"/>
      <c r="LID422" s="274"/>
      <c r="LIE422" s="274"/>
      <c r="LIF422" s="274"/>
      <c r="LIG422" s="274"/>
      <c r="LIH422" s="274"/>
      <c r="LII422" s="274"/>
      <c r="LIJ422" s="274"/>
      <c r="LIK422" s="274"/>
      <c r="LIL422" s="274"/>
      <c r="LIM422" s="274"/>
      <c r="LIN422" s="274"/>
      <c r="LIO422" s="274"/>
      <c r="LIP422" s="274"/>
      <c r="LIQ422" s="274"/>
      <c r="LIR422" s="274"/>
      <c r="LIS422" s="274"/>
      <c r="LIT422" s="274"/>
      <c r="LIU422" s="274"/>
      <c r="LIV422" s="274"/>
      <c r="LIW422" s="274"/>
      <c r="LIX422" s="274"/>
      <c r="LIY422" s="274"/>
      <c r="LIZ422" s="274"/>
      <c r="LJA422" s="274"/>
      <c r="LJB422" s="274"/>
      <c r="LJC422" s="274"/>
      <c r="LJD422" s="274"/>
      <c r="LJE422" s="274"/>
      <c r="LJF422" s="274"/>
      <c r="LJG422" s="274"/>
      <c r="LJH422" s="274"/>
      <c r="LJI422" s="274"/>
      <c r="LJJ422" s="274"/>
      <c r="LJK422" s="274"/>
      <c r="LJL422" s="274"/>
      <c r="LJM422" s="274"/>
      <c r="LJN422" s="274"/>
      <c r="LJO422" s="274"/>
      <c r="LJP422" s="274"/>
      <c r="LJQ422" s="274"/>
      <c r="LJR422" s="274"/>
      <c r="LJS422" s="274"/>
      <c r="LJT422" s="274"/>
      <c r="LJU422" s="274"/>
      <c r="LJV422" s="274"/>
      <c r="LJW422" s="274"/>
      <c r="LJX422" s="274"/>
      <c r="LJY422" s="274"/>
      <c r="LJZ422" s="274"/>
      <c r="LKA422" s="274"/>
      <c r="LKB422" s="274"/>
      <c r="LKC422" s="274"/>
      <c r="LKD422" s="274"/>
      <c r="LKE422" s="274"/>
      <c r="LKF422" s="274"/>
      <c r="LKG422" s="274"/>
      <c r="LKH422" s="274"/>
      <c r="LKI422" s="274"/>
      <c r="LKJ422" s="274"/>
      <c r="LKK422" s="274"/>
      <c r="LKL422" s="274"/>
      <c r="LKM422" s="274"/>
      <c r="LKN422" s="274"/>
      <c r="LKO422" s="274"/>
      <c r="LKP422" s="274"/>
      <c r="LKQ422" s="274"/>
      <c r="LKR422" s="274"/>
      <c r="LKS422" s="274"/>
      <c r="LKT422" s="274"/>
      <c r="LKU422" s="274"/>
      <c r="LKV422" s="274"/>
      <c r="LKW422" s="274"/>
      <c r="LKX422" s="274"/>
      <c r="LKY422" s="274"/>
      <c r="LKZ422" s="274"/>
      <c r="LLA422" s="274"/>
      <c r="LLB422" s="274"/>
      <c r="LLC422" s="274"/>
      <c r="LLD422" s="274"/>
      <c r="LLE422" s="274"/>
      <c r="LLF422" s="274"/>
      <c r="LLG422" s="274"/>
      <c r="LLH422" s="274"/>
      <c r="LLI422" s="274"/>
      <c r="LLJ422" s="274"/>
      <c r="LLK422" s="274"/>
      <c r="LLL422" s="274"/>
      <c r="LLM422" s="274"/>
      <c r="LLN422" s="274"/>
      <c r="LLO422" s="274"/>
      <c r="LLP422" s="274"/>
      <c r="LLQ422" s="274"/>
      <c r="LLR422" s="274"/>
      <c r="LLS422" s="274"/>
      <c r="LLT422" s="274"/>
      <c r="LLU422" s="274"/>
      <c r="LLV422" s="274"/>
      <c r="LLW422" s="274"/>
      <c r="LLX422" s="274"/>
      <c r="LLY422" s="274"/>
      <c r="LLZ422" s="274"/>
      <c r="LMA422" s="274"/>
      <c r="LMB422" s="274"/>
      <c r="LMC422" s="274"/>
      <c r="LMD422" s="274"/>
      <c r="LME422" s="274"/>
      <c r="LMF422" s="274"/>
      <c r="LMG422" s="274"/>
      <c r="LMH422" s="274"/>
      <c r="LMI422" s="274"/>
      <c r="LMJ422" s="274"/>
      <c r="LMK422" s="274"/>
      <c r="LML422" s="274"/>
      <c r="LMM422" s="274"/>
      <c r="LMN422" s="274"/>
      <c r="LMO422" s="274"/>
      <c r="LMP422" s="274"/>
      <c r="LMQ422" s="274"/>
      <c r="LMR422" s="274"/>
      <c r="LMS422" s="274"/>
      <c r="LMT422" s="274"/>
      <c r="LMU422" s="274"/>
      <c r="LMV422" s="274"/>
      <c r="LMW422" s="274"/>
      <c r="LMX422" s="274"/>
      <c r="LMY422" s="274"/>
      <c r="LMZ422" s="274"/>
      <c r="LNA422" s="274"/>
      <c r="LNB422" s="274"/>
      <c r="LNC422" s="274"/>
      <c r="LND422" s="274"/>
      <c r="LNE422" s="274"/>
      <c r="LNF422" s="274"/>
      <c r="LNG422" s="274"/>
      <c r="LNH422" s="274"/>
      <c r="LNI422" s="274"/>
      <c r="LNJ422" s="274"/>
      <c r="LNK422" s="274"/>
      <c r="LNL422" s="274"/>
      <c r="LNM422" s="274"/>
      <c r="LNN422" s="274"/>
      <c r="LNO422" s="274"/>
      <c r="LNP422" s="274"/>
      <c r="LNQ422" s="274"/>
      <c r="LNR422" s="274"/>
      <c r="LNS422" s="274"/>
      <c r="LNT422" s="274"/>
      <c r="LNU422" s="274"/>
      <c r="LNV422" s="274"/>
      <c r="LNW422" s="274"/>
      <c r="LNX422" s="274"/>
      <c r="LNY422" s="274"/>
      <c r="LNZ422" s="274"/>
      <c r="LOA422" s="274"/>
      <c r="LOB422" s="274"/>
      <c r="LOC422" s="274"/>
      <c r="LOD422" s="274"/>
      <c r="LOE422" s="274"/>
      <c r="LOF422" s="274"/>
      <c r="LOG422" s="274"/>
      <c r="LOH422" s="274"/>
      <c r="LOI422" s="274"/>
      <c r="LOJ422" s="274"/>
      <c r="LOK422" s="274"/>
      <c r="LOL422" s="274"/>
      <c r="LOM422" s="274"/>
      <c r="LON422" s="274"/>
      <c r="LOO422" s="274"/>
      <c r="LOP422" s="274"/>
      <c r="LOQ422" s="274"/>
      <c r="LOR422" s="274"/>
      <c r="LOS422" s="274"/>
      <c r="LOT422" s="274"/>
      <c r="LOU422" s="274"/>
      <c r="LOV422" s="274"/>
      <c r="LOW422" s="274"/>
      <c r="LOX422" s="274"/>
      <c r="LOY422" s="274"/>
      <c r="LOZ422" s="274"/>
      <c r="LPA422" s="274"/>
      <c r="LPB422" s="274"/>
      <c r="LPC422" s="274"/>
      <c r="LPD422" s="274"/>
      <c r="LPE422" s="274"/>
      <c r="LPF422" s="274"/>
      <c r="LPG422" s="274"/>
      <c r="LPH422" s="274"/>
      <c r="LPI422" s="274"/>
      <c r="LPJ422" s="274"/>
      <c r="LPK422" s="274"/>
      <c r="LPL422" s="274"/>
      <c r="LPM422" s="274"/>
      <c r="LPN422" s="274"/>
      <c r="LPO422" s="274"/>
      <c r="LPP422" s="274"/>
      <c r="LPQ422" s="274"/>
      <c r="LPR422" s="274"/>
      <c r="LPS422" s="274"/>
      <c r="LPT422" s="274"/>
      <c r="LPU422" s="274"/>
      <c r="LPV422" s="274"/>
      <c r="LPW422" s="274"/>
      <c r="LPX422" s="274"/>
      <c r="LPY422" s="274"/>
      <c r="LPZ422" s="274"/>
      <c r="LQA422" s="274"/>
      <c r="LQB422" s="274"/>
      <c r="LQC422" s="274"/>
      <c r="LQD422" s="274"/>
      <c r="LQE422" s="274"/>
      <c r="LQF422" s="274"/>
      <c r="LQG422" s="274"/>
      <c r="LQH422" s="274"/>
      <c r="LQI422" s="274"/>
      <c r="LQJ422" s="274"/>
      <c r="LQK422" s="274"/>
      <c r="LQL422" s="274"/>
      <c r="LQM422" s="274"/>
      <c r="LQN422" s="274"/>
      <c r="LQO422" s="274"/>
      <c r="LQP422" s="274"/>
      <c r="LQQ422" s="274"/>
      <c r="LQR422" s="274"/>
      <c r="LQS422" s="274"/>
      <c r="LQT422" s="274"/>
      <c r="LQU422" s="274"/>
      <c r="LQV422" s="274"/>
      <c r="LQW422" s="274"/>
      <c r="LQX422" s="274"/>
      <c r="LQY422" s="274"/>
      <c r="LQZ422" s="274"/>
      <c r="LRA422" s="274"/>
      <c r="LRB422" s="274"/>
      <c r="LRC422" s="274"/>
      <c r="LRD422" s="274"/>
      <c r="LRE422" s="274"/>
      <c r="LRF422" s="274"/>
      <c r="LRG422" s="274"/>
      <c r="LRH422" s="274"/>
      <c r="LRI422" s="274"/>
      <c r="LRJ422" s="274"/>
      <c r="LRK422" s="274"/>
      <c r="LRL422" s="274"/>
      <c r="LRM422" s="274"/>
      <c r="LRN422" s="274"/>
      <c r="LRO422" s="274"/>
      <c r="LRP422" s="274"/>
      <c r="LRQ422" s="274"/>
      <c r="LRR422" s="274"/>
      <c r="LRS422" s="274"/>
      <c r="LRT422" s="274"/>
      <c r="LRU422" s="274"/>
      <c r="LRV422" s="274"/>
      <c r="LRW422" s="274"/>
      <c r="LRX422" s="274"/>
      <c r="LRY422" s="274"/>
      <c r="LRZ422" s="274"/>
      <c r="LSA422" s="274"/>
      <c r="LSB422" s="274"/>
      <c r="LSC422" s="274"/>
      <c r="LSD422" s="274"/>
      <c r="LSE422" s="274"/>
      <c r="LSF422" s="274"/>
      <c r="LSG422" s="274"/>
      <c r="LSH422" s="274"/>
      <c r="LSI422" s="274"/>
      <c r="LSJ422" s="274"/>
      <c r="LSK422" s="274"/>
      <c r="LSL422" s="274"/>
      <c r="LSM422" s="274"/>
      <c r="LSN422" s="274"/>
      <c r="LSO422" s="274"/>
      <c r="LSP422" s="274"/>
      <c r="LSQ422" s="274"/>
      <c r="LSR422" s="274"/>
      <c r="LSS422" s="274"/>
      <c r="LST422" s="274"/>
      <c r="LSU422" s="274"/>
      <c r="LSV422" s="274"/>
      <c r="LSW422" s="274"/>
      <c r="LSX422" s="274"/>
      <c r="LSY422" s="274"/>
      <c r="LSZ422" s="274"/>
      <c r="LTA422" s="274"/>
      <c r="LTB422" s="274"/>
      <c r="LTC422" s="274"/>
      <c r="LTD422" s="274"/>
      <c r="LTE422" s="274"/>
      <c r="LTF422" s="274"/>
      <c r="LTG422" s="274"/>
      <c r="LTH422" s="274"/>
      <c r="LTI422" s="274"/>
      <c r="LTJ422" s="274"/>
      <c r="LTK422" s="274"/>
      <c r="LTL422" s="274"/>
      <c r="LTM422" s="274"/>
      <c r="LTN422" s="274"/>
      <c r="LTO422" s="274"/>
      <c r="LTP422" s="274"/>
      <c r="LTQ422" s="274"/>
      <c r="LTR422" s="274"/>
      <c r="LTS422" s="274"/>
      <c r="LTT422" s="274"/>
      <c r="LTU422" s="274"/>
      <c r="LTV422" s="274"/>
      <c r="LTW422" s="274"/>
      <c r="LTX422" s="274"/>
      <c r="LTY422" s="274"/>
      <c r="LTZ422" s="274"/>
      <c r="LUA422" s="274"/>
      <c r="LUB422" s="274"/>
      <c r="LUC422" s="274"/>
      <c r="LUD422" s="274"/>
      <c r="LUE422" s="274"/>
      <c r="LUF422" s="274"/>
      <c r="LUG422" s="274"/>
      <c r="LUH422" s="274"/>
      <c r="LUI422" s="274"/>
      <c r="LUJ422" s="274"/>
      <c r="LUK422" s="274"/>
      <c r="LUL422" s="274"/>
      <c r="LUM422" s="274"/>
      <c r="LUN422" s="274"/>
      <c r="LUO422" s="274"/>
      <c r="LUP422" s="274"/>
      <c r="LUQ422" s="274"/>
      <c r="LUR422" s="274"/>
      <c r="LUS422" s="274"/>
      <c r="LUT422" s="274"/>
      <c r="LUU422" s="274"/>
      <c r="LUV422" s="274"/>
      <c r="LUW422" s="274"/>
      <c r="LUX422" s="274"/>
      <c r="LUY422" s="274"/>
      <c r="LUZ422" s="274"/>
      <c r="LVA422" s="274"/>
      <c r="LVB422" s="274"/>
      <c r="LVC422" s="274"/>
      <c r="LVD422" s="274"/>
      <c r="LVE422" s="274"/>
      <c r="LVF422" s="274"/>
      <c r="LVG422" s="274"/>
      <c r="LVH422" s="274"/>
      <c r="LVI422" s="274"/>
      <c r="LVJ422" s="274"/>
      <c r="LVK422" s="274"/>
      <c r="LVL422" s="274"/>
      <c r="LVM422" s="274"/>
      <c r="LVN422" s="274"/>
      <c r="LVO422" s="274"/>
      <c r="LVP422" s="274"/>
      <c r="LVQ422" s="274"/>
      <c r="LVR422" s="274"/>
      <c r="LVS422" s="274"/>
      <c r="LVT422" s="274"/>
      <c r="LVU422" s="274"/>
      <c r="LVV422" s="274"/>
      <c r="LVW422" s="274"/>
      <c r="LVX422" s="274"/>
      <c r="LVY422" s="274"/>
      <c r="LVZ422" s="274"/>
      <c r="LWA422" s="274"/>
      <c r="LWB422" s="274"/>
      <c r="LWC422" s="274"/>
      <c r="LWD422" s="274"/>
      <c r="LWE422" s="274"/>
      <c r="LWF422" s="274"/>
      <c r="LWG422" s="274"/>
      <c r="LWH422" s="274"/>
      <c r="LWI422" s="274"/>
      <c r="LWJ422" s="274"/>
      <c r="LWK422" s="274"/>
      <c r="LWL422" s="274"/>
      <c r="LWM422" s="274"/>
      <c r="LWN422" s="274"/>
      <c r="LWO422" s="274"/>
      <c r="LWP422" s="274"/>
      <c r="LWQ422" s="274"/>
      <c r="LWR422" s="274"/>
      <c r="LWS422" s="274"/>
      <c r="LWT422" s="274"/>
      <c r="LWU422" s="274"/>
      <c r="LWV422" s="274"/>
      <c r="LWW422" s="274"/>
      <c r="LWX422" s="274"/>
      <c r="LWY422" s="274"/>
      <c r="LWZ422" s="274"/>
      <c r="LXA422" s="274"/>
      <c r="LXB422" s="274"/>
      <c r="LXC422" s="274"/>
      <c r="LXD422" s="274"/>
      <c r="LXE422" s="274"/>
      <c r="LXF422" s="274"/>
      <c r="LXG422" s="274"/>
      <c r="LXH422" s="274"/>
      <c r="LXI422" s="274"/>
      <c r="LXJ422" s="274"/>
      <c r="LXK422" s="274"/>
      <c r="LXL422" s="274"/>
      <c r="LXM422" s="274"/>
      <c r="LXN422" s="274"/>
      <c r="LXO422" s="274"/>
      <c r="LXP422" s="274"/>
      <c r="LXQ422" s="274"/>
      <c r="LXR422" s="274"/>
      <c r="LXS422" s="274"/>
      <c r="LXT422" s="274"/>
      <c r="LXU422" s="274"/>
      <c r="LXV422" s="274"/>
      <c r="LXW422" s="274"/>
      <c r="LXX422" s="274"/>
      <c r="LXY422" s="274"/>
      <c r="LXZ422" s="274"/>
      <c r="LYA422" s="274"/>
      <c r="LYB422" s="274"/>
      <c r="LYC422" s="274"/>
      <c r="LYD422" s="274"/>
      <c r="LYE422" s="274"/>
      <c r="LYF422" s="274"/>
      <c r="LYG422" s="274"/>
      <c r="LYH422" s="274"/>
      <c r="LYI422" s="274"/>
      <c r="LYJ422" s="274"/>
      <c r="LYK422" s="274"/>
      <c r="LYL422" s="274"/>
      <c r="LYM422" s="274"/>
      <c r="LYN422" s="274"/>
      <c r="LYO422" s="274"/>
      <c r="LYP422" s="274"/>
      <c r="LYQ422" s="274"/>
      <c r="LYR422" s="274"/>
      <c r="LYS422" s="274"/>
      <c r="LYT422" s="274"/>
      <c r="LYU422" s="274"/>
      <c r="LYV422" s="274"/>
      <c r="LYW422" s="274"/>
      <c r="LYX422" s="274"/>
      <c r="LYY422" s="274"/>
      <c r="LYZ422" s="274"/>
      <c r="LZA422" s="274"/>
      <c r="LZB422" s="274"/>
      <c r="LZC422" s="274"/>
      <c r="LZD422" s="274"/>
      <c r="LZE422" s="274"/>
      <c r="LZF422" s="274"/>
      <c r="LZG422" s="274"/>
      <c r="LZH422" s="274"/>
      <c r="LZI422" s="274"/>
      <c r="LZJ422" s="274"/>
      <c r="LZK422" s="274"/>
      <c r="LZL422" s="274"/>
      <c r="LZM422" s="274"/>
      <c r="LZN422" s="274"/>
      <c r="LZO422" s="274"/>
      <c r="LZP422" s="274"/>
      <c r="LZQ422" s="274"/>
      <c r="LZR422" s="274"/>
      <c r="LZS422" s="274"/>
      <c r="LZT422" s="274"/>
      <c r="LZU422" s="274"/>
      <c r="LZV422" s="274"/>
      <c r="LZW422" s="274"/>
      <c r="LZX422" s="274"/>
      <c r="LZY422" s="274"/>
      <c r="LZZ422" s="274"/>
      <c r="MAA422" s="274"/>
      <c r="MAB422" s="274"/>
      <c r="MAC422" s="274"/>
      <c r="MAD422" s="274"/>
      <c r="MAE422" s="274"/>
      <c r="MAF422" s="274"/>
      <c r="MAG422" s="274"/>
      <c r="MAH422" s="274"/>
      <c r="MAI422" s="274"/>
      <c r="MAJ422" s="274"/>
      <c r="MAK422" s="274"/>
      <c r="MAL422" s="274"/>
      <c r="MAM422" s="274"/>
      <c r="MAN422" s="274"/>
      <c r="MAO422" s="274"/>
      <c r="MAP422" s="274"/>
      <c r="MAQ422" s="274"/>
      <c r="MAR422" s="274"/>
      <c r="MAS422" s="274"/>
      <c r="MAT422" s="274"/>
      <c r="MAU422" s="274"/>
      <c r="MAV422" s="274"/>
      <c r="MAW422" s="274"/>
      <c r="MAX422" s="274"/>
      <c r="MAY422" s="274"/>
      <c r="MAZ422" s="274"/>
      <c r="MBA422" s="274"/>
      <c r="MBB422" s="274"/>
      <c r="MBC422" s="274"/>
      <c r="MBD422" s="274"/>
      <c r="MBE422" s="274"/>
      <c r="MBF422" s="274"/>
      <c r="MBG422" s="274"/>
      <c r="MBH422" s="274"/>
      <c r="MBI422" s="274"/>
      <c r="MBJ422" s="274"/>
      <c r="MBK422" s="274"/>
      <c r="MBL422" s="274"/>
      <c r="MBM422" s="274"/>
      <c r="MBN422" s="274"/>
      <c r="MBO422" s="274"/>
      <c r="MBP422" s="274"/>
      <c r="MBQ422" s="274"/>
      <c r="MBR422" s="274"/>
      <c r="MBS422" s="274"/>
      <c r="MBT422" s="274"/>
      <c r="MBU422" s="274"/>
      <c r="MBV422" s="274"/>
      <c r="MBW422" s="274"/>
      <c r="MBX422" s="274"/>
      <c r="MBY422" s="274"/>
      <c r="MBZ422" s="274"/>
      <c r="MCA422" s="274"/>
      <c r="MCB422" s="274"/>
      <c r="MCC422" s="274"/>
      <c r="MCD422" s="274"/>
      <c r="MCE422" s="274"/>
      <c r="MCF422" s="274"/>
      <c r="MCG422" s="274"/>
      <c r="MCH422" s="274"/>
      <c r="MCI422" s="274"/>
      <c r="MCJ422" s="274"/>
      <c r="MCK422" s="274"/>
      <c r="MCL422" s="274"/>
      <c r="MCM422" s="274"/>
      <c r="MCN422" s="274"/>
      <c r="MCO422" s="274"/>
      <c r="MCP422" s="274"/>
      <c r="MCQ422" s="274"/>
      <c r="MCR422" s="274"/>
      <c r="MCS422" s="274"/>
      <c r="MCT422" s="274"/>
      <c r="MCU422" s="274"/>
      <c r="MCV422" s="274"/>
      <c r="MCW422" s="274"/>
      <c r="MCX422" s="274"/>
      <c r="MCY422" s="274"/>
      <c r="MCZ422" s="274"/>
      <c r="MDA422" s="274"/>
      <c r="MDB422" s="274"/>
      <c r="MDC422" s="274"/>
      <c r="MDD422" s="274"/>
      <c r="MDE422" s="274"/>
      <c r="MDF422" s="274"/>
      <c r="MDG422" s="274"/>
      <c r="MDH422" s="274"/>
      <c r="MDI422" s="274"/>
      <c r="MDJ422" s="274"/>
      <c r="MDK422" s="274"/>
      <c r="MDL422" s="274"/>
      <c r="MDM422" s="274"/>
      <c r="MDN422" s="274"/>
      <c r="MDO422" s="274"/>
      <c r="MDP422" s="274"/>
      <c r="MDQ422" s="274"/>
      <c r="MDR422" s="274"/>
      <c r="MDS422" s="274"/>
      <c r="MDT422" s="274"/>
      <c r="MDU422" s="274"/>
      <c r="MDV422" s="274"/>
      <c r="MDW422" s="274"/>
      <c r="MDX422" s="274"/>
      <c r="MDY422" s="274"/>
      <c r="MDZ422" s="274"/>
      <c r="MEA422" s="274"/>
      <c r="MEB422" s="274"/>
      <c r="MEC422" s="274"/>
      <c r="MED422" s="274"/>
      <c r="MEE422" s="274"/>
      <c r="MEF422" s="274"/>
      <c r="MEG422" s="274"/>
      <c r="MEH422" s="274"/>
      <c r="MEI422" s="274"/>
      <c r="MEJ422" s="274"/>
      <c r="MEK422" s="274"/>
      <c r="MEL422" s="274"/>
      <c r="MEM422" s="274"/>
      <c r="MEN422" s="274"/>
      <c r="MEO422" s="274"/>
      <c r="MEP422" s="274"/>
      <c r="MEQ422" s="274"/>
      <c r="MER422" s="274"/>
      <c r="MES422" s="274"/>
      <c r="MET422" s="274"/>
      <c r="MEU422" s="274"/>
      <c r="MEV422" s="274"/>
      <c r="MEW422" s="274"/>
      <c r="MEX422" s="274"/>
      <c r="MEY422" s="274"/>
      <c r="MEZ422" s="274"/>
      <c r="MFA422" s="274"/>
      <c r="MFB422" s="274"/>
      <c r="MFC422" s="274"/>
      <c r="MFD422" s="274"/>
      <c r="MFE422" s="274"/>
      <c r="MFF422" s="274"/>
      <c r="MFG422" s="274"/>
      <c r="MFH422" s="274"/>
      <c r="MFI422" s="274"/>
      <c r="MFJ422" s="274"/>
      <c r="MFK422" s="274"/>
      <c r="MFL422" s="274"/>
      <c r="MFM422" s="274"/>
      <c r="MFN422" s="274"/>
      <c r="MFO422" s="274"/>
      <c r="MFP422" s="274"/>
      <c r="MFQ422" s="274"/>
      <c r="MFR422" s="274"/>
      <c r="MFS422" s="274"/>
      <c r="MFT422" s="274"/>
      <c r="MFU422" s="274"/>
      <c r="MFV422" s="274"/>
      <c r="MFW422" s="274"/>
      <c r="MFX422" s="274"/>
      <c r="MFY422" s="274"/>
      <c r="MFZ422" s="274"/>
      <c r="MGA422" s="274"/>
      <c r="MGB422" s="274"/>
      <c r="MGC422" s="274"/>
      <c r="MGD422" s="274"/>
      <c r="MGE422" s="274"/>
      <c r="MGF422" s="274"/>
      <c r="MGG422" s="274"/>
      <c r="MGH422" s="274"/>
      <c r="MGI422" s="274"/>
      <c r="MGJ422" s="274"/>
      <c r="MGK422" s="274"/>
      <c r="MGL422" s="274"/>
      <c r="MGM422" s="274"/>
      <c r="MGN422" s="274"/>
      <c r="MGO422" s="274"/>
      <c r="MGP422" s="274"/>
      <c r="MGQ422" s="274"/>
      <c r="MGR422" s="274"/>
      <c r="MGS422" s="274"/>
      <c r="MGT422" s="274"/>
      <c r="MGU422" s="274"/>
      <c r="MGV422" s="274"/>
      <c r="MGW422" s="274"/>
      <c r="MGX422" s="274"/>
      <c r="MGY422" s="274"/>
      <c r="MGZ422" s="274"/>
      <c r="MHA422" s="274"/>
      <c r="MHB422" s="274"/>
      <c r="MHC422" s="274"/>
      <c r="MHD422" s="274"/>
      <c r="MHE422" s="274"/>
      <c r="MHF422" s="274"/>
      <c r="MHG422" s="274"/>
      <c r="MHH422" s="274"/>
      <c r="MHI422" s="274"/>
      <c r="MHJ422" s="274"/>
      <c r="MHK422" s="274"/>
      <c r="MHL422" s="274"/>
      <c r="MHM422" s="274"/>
      <c r="MHN422" s="274"/>
      <c r="MHO422" s="274"/>
      <c r="MHP422" s="274"/>
      <c r="MHQ422" s="274"/>
      <c r="MHR422" s="274"/>
      <c r="MHS422" s="274"/>
      <c r="MHT422" s="274"/>
      <c r="MHU422" s="274"/>
      <c r="MHV422" s="274"/>
      <c r="MHW422" s="274"/>
      <c r="MHX422" s="274"/>
      <c r="MHY422" s="274"/>
      <c r="MHZ422" s="274"/>
      <c r="MIA422" s="274"/>
      <c r="MIB422" s="274"/>
      <c r="MIC422" s="274"/>
      <c r="MID422" s="274"/>
      <c r="MIE422" s="274"/>
      <c r="MIF422" s="274"/>
      <c r="MIG422" s="274"/>
      <c r="MIH422" s="274"/>
      <c r="MII422" s="274"/>
      <c r="MIJ422" s="274"/>
      <c r="MIK422" s="274"/>
      <c r="MIL422" s="274"/>
      <c r="MIM422" s="274"/>
      <c r="MIN422" s="274"/>
      <c r="MIO422" s="274"/>
      <c r="MIP422" s="274"/>
      <c r="MIQ422" s="274"/>
      <c r="MIR422" s="274"/>
      <c r="MIS422" s="274"/>
      <c r="MIT422" s="274"/>
      <c r="MIU422" s="274"/>
      <c r="MIV422" s="274"/>
      <c r="MIW422" s="274"/>
      <c r="MIX422" s="274"/>
      <c r="MIY422" s="274"/>
      <c r="MIZ422" s="274"/>
      <c r="MJA422" s="274"/>
      <c r="MJB422" s="274"/>
      <c r="MJC422" s="274"/>
      <c r="MJD422" s="274"/>
      <c r="MJE422" s="274"/>
      <c r="MJF422" s="274"/>
      <c r="MJG422" s="274"/>
      <c r="MJH422" s="274"/>
      <c r="MJI422" s="274"/>
      <c r="MJJ422" s="274"/>
      <c r="MJK422" s="274"/>
      <c r="MJL422" s="274"/>
      <c r="MJM422" s="274"/>
      <c r="MJN422" s="274"/>
      <c r="MJO422" s="274"/>
      <c r="MJP422" s="274"/>
      <c r="MJQ422" s="274"/>
      <c r="MJR422" s="274"/>
      <c r="MJS422" s="274"/>
      <c r="MJT422" s="274"/>
      <c r="MJU422" s="274"/>
      <c r="MJV422" s="274"/>
      <c r="MJW422" s="274"/>
      <c r="MJX422" s="274"/>
      <c r="MJY422" s="274"/>
      <c r="MJZ422" s="274"/>
      <c r="MKA422" s="274"/>
      <c r="MKB422" s="274"/>
      <c r="MKC422" s="274"/>
      <c r="MKD422" s="274"/>
      <c r="MKE422" s="274"/>
      <c r="MKF422" s="274"/>
      <c r="MKG422" s="274"/>
      <c r="MKH422" s="274"/>
      <c r="MKI422" s="274"/>
      <c r="MKJ422" s="274"/>
      <c r="MKK422" s="274"/>
      <c r="MKL422" s="274"/>
      <c r="MKM422" s="274"/>
      <c r="MKN422" s="274"/>
      <c r="MKO422" s="274"/>
      <c r="MKP422" s="274"/>
      <c r="MKQ422" s="274"/>
      <c r="MKR422" s="274"/>
      <c r="MKS422" s="274"/>
      <c r="MKT422" s="274"/>
      <c r="MKU422" s="274"/>
      <c r="MKV422" s="274"/>
      <c r="MKW422" s="274"/>
      <c r="MKX422" s="274"/>
      <c r="MKY422" s="274"/>
      <c r="MKZ422" s="274"/>
      <c r="MLA422" s="274"/>
      <c r="MLB422" s="274"/>
      <c r="MLC422" s="274"/>
      <c r="MLD422" s="274"/>
      <c r="MLE422" s="274"/>
      <c r="MLF422" s="274"/>
      <c r="MLG422" s="274"/>
      <c r="MLH422" s="274"/>
      <c r="MLI422" s="274"/>
      <c r="MLJ422" s="274"/>
      <c r="MLK422" s="274"/>
      <c r="MLL422" s="274"/>
      <c r="MLM422" s="274"/>
      <c r="MLN422" s="274"/>
      <c r="MLO422" s="274"/>
      <c r="MLP422" s="274"/>
      <c r="MLQ422" s="274"/>
      <c r="MLR422" s="274"/>
      <c r="MLS422" s="274"/>
      <c r="MLT422" s="274"/>
      <c r="MLU422" s="274"/>
      <c r="MLV422" s="274"/>
      <c r="MLW422" s="274"/>
      <c r="MLX422" s="274"/>
      <c r="MLY422" s="274"/>
      <c r="MLZ422" s="274"/>
      <c r="MMA422" s="274"/>
      <c r="MMB422" s="274"/>
      <c r="MMC422" s="274"/>
      <c r="MMD422" s="274"/>
      <c r="MME422" s="274"/>
      <c r="MMF422" s="274"/>
      <c r="MMG422" s="274"/>
      <c r="MMH422" s="274"/>
      <c r="MMI422" s="274"/>
      <c r="MMJ422" s="274"/>
      <c r="MMK422" s="274"/>
      <c r="MML422" s="274"/>
      <c r="MMM422" s="274"/>
      <c r="MMN422" s="274"/>
      <c r="MMO422" s="274"/>
      <c r="MMP422" s="274"/>
      <c r="MMQ422" s="274"/>
      <c r="MMR422" s="274"/>
      <c r="MMS422" s="274"/>
      <c r="MMT422" s="274"/>
      <c r="MMU422" s="274"/>
      <c r="MMV422" s="274"/>
      <c r="MMW422" s="274"/>
      <c r="MMX422" s="274"/>
      <c r="MMY422" s="274"/>
      <c r="MMZ422" s="274"/>
      <c r="MNA422" s="274"/>
      <c r="MNB422" s="274"/>
      <c r="MNC422" s="274"/>
      <c r="MND422" s="274"/>
      <c r="MNE422" s="274"/>
      <c r="MNF422" s="274"/>
      <c r="MNG422" s="274"/>
      <c r="MNH422" s="274"/>
      <c r="MNI422" s="274"/>
      <c r="MNJ422" s="274"/>
      <c r="MNK422" s="274"/>
      <c r="MNL422" s="274"/>
      <c r="MNM422" s="274"/>
      <c r="MNN422" s="274"/>
      <c r="MNO422" s="274"/>
      <c r="MNP422" s="274"/>
      <c r="MNQ422" s="274"/>
      <c r="MNR422" s="274"/>
      <c r="MNS422" s="274"/>
      <c r="MNT422" s="274"/>
      <c r="MNU422" s="274"/>
      <c r="MNV422" s="274"/>
      <c r="MNW422" s="274"/>
      <c r="MNX422" s="274"/>
      <c r="MNY422" s="274"/>
      <c r="MNZ422" s="274"/>
      <c r="MOA422" s="274"/>
      <c r="MOB422" s="274"/>
      <c r="MOC422" s="274"/>
      <c r="MOD422" s="274"/>
      <c r="MOE422" s="274"/>
      <c r="MOF422" s="274"/>
      <c r="MOG422" s="274"/>
      <c r="MOH422" s="274"/>
      <c r="MOI422" s="274"/>
      <c r="MOJ422" s="274"/>
      <c r="MOK422" s="274"/>
      <c r="MOL422" s="274"/>
      <c r="MOM422" s="274"/>
      <c r="MON422" s="274"/>
      <c r="MOO422" s="274"/>
      <c r="MOP422" s="274"/>
      <c r="MOQ422" s="274"/>
      <c r="MOR422" s="274"/>
      <c r="MOS422" s="274"/>
      <c r="MOT422" s="274"/>
      <c r="MOU422" s="274"/>
      <c r="MOV422" s="274"/>
      <c r="MOW422" s="274"/>
      <c r="MOX422" s="274"/>
      <c r="MOY422" s="274"/>
      <c r="MOZ422" s="274"/>
      <c r="MPA422" s="274"/>
      <c r="MPB422" s="274"/>
      <c r="MPC422" s="274"/>
      <c r="MPD422" s="274"/>
      <c r="MPE422" s="274"/>
      <c r="MPF422" s="274"/>
      <c r="MPG422" s="274"/>
      <c r="MPH422" s="274"/>
      <c r="MPI422" s="274"/>
      <c r="MPJ422" s="274"/>
      <c r="MPK422" s="274"/>
      <c r="MPL422" s="274"/>
      <c r="MPM422" s="274"/>
      <c r="MPN422" s="274"/>
      <c r="MPO422" s="274"/>
      <c r="MPP422" s="274"/>
      <c r="MPQ422" s="274"/>
      <c r="MPR422" s="274"/>
      <c r="MPS422" s="274"/>
      <c r="MPT422" s="274"/>
      <c r="MPU422" s="274"/>
      <c r="MPV422" s="274"/>
      <c r="MPW422" s="274"/>
      <c r="MPX422" s="274"/>
      <c r="MPY422" s="274"/>
      <c r="MPZ422" s="274"/>
      <c r="MQA422" s="274"/>
      <c r="MQB422" s="274"/>
      <c r="MQC422" s="274"/>
      <c r="MQD422" s="274"/>
      <c r="MQE422" s="274"/>
      <c r="MQF422" s="274"/>
      <c r="MQG422" s="274"/>
      <c r="MQH422" s="274"/>
      <c r="MQI422" s="274"/>
      <c r="MQJ422" s="274"/>
      <c r="MQK422" s="274"/>
      <c r="MQL422" s="274"/>
      <c r="MQM422" s="274"/>
      <c r="MQN422" s="274"/>
      <c r="MQO422" s="274"/>
      <c r="MQP422" s="274"/>
      <c r="MQQ422" s="274"/>
      <c r="MQR422" s="274"/>
      <c r="MQS422" s="274"/>
      <c r="MQT422" s="274"/>
      <c r="MQU422" s="274"/>
      <c r="MQV422" s="274"/>
      <c r="MQW422" s="274"/>
      <c r="MQX422" s="274"/>
      <c r="MQY422" s="274"/>
      <c r="MQZ422" s="274"/>
      <c r="MRA422" s="274"/>
      <c r="MRB422" s="274"/>
      <c r="MRC422" s="274"/>
      <c r="MRD422" s="274"/>
      <c r="MRE422" s="274"/>
      <c r="MRF422" s="274"/>
      <c r="MRG422" s="274"/>
      <c r="MRH422" s="274"/>
      <c r="MRI422" s="274"/>
      <c r="MRJ422" s="274"/>
      <c r="MRK422" s="274"/>
      <c r="MRL422" s="274"/>
      <c r="MRM422" s="274"/>
      <c r="MRN422" s="274"/>
      <c r="MRO422" s="274"/>
      <c r="MRP422" s="274"/>
      <c r="MRQ422" s="274"/>
      <c r="MRR422" s="274"/>
      <c r="MRS422" s="274"/>
      <c r="MRT422" s="274"/>
      <c r="MRU422" s="274"/>
      <c r="MRV422" s="274"/>
      <c r="MRW422" s="274"/>
      <c r="MRX422" s="274"/>
      <c r="MRY422" s="274"/>
      <c r="MRZ422" s="274"/>
      <c r="MSA422" s="274"/>
      <c r="MSB422" s="274"/>
      <c r="MSC422" s="274"/>
      <c r="MSD422" s="274"/>
      <c r="MSE422" s="274"/>
      <c r="MSF422" s="274"/>
      <c r="MSG422" s="274"/>
      <c r="MSH422" s="274"/>
      <c r="MSI422" s="274"/>
      <c r="MSJ422" s="274"/>
      <c r="MSK422" s="274"/>
      <c r="MSL422" s="274"/>
      <c r="MSM422" s="274"/>
      <c r="MSN422" s="274"/>
      <c r="MSO422" s="274"/>
      <c r="MSP422" s="274"/>
      <c r="MSQ422" s="274"/>
      <c r="MSR422" s="274"/>
      <c r="MSS422" s="274"/>
      <c r="MST422" s="274"/>
      <c r="MSU422" s="274"/>
      <c r="MSV422" s="274"/>
      <c r="MSW422" s="274"/>
      <c r="MSX422" s="274"/>
      <c r="MSY422" s="274"/>
      <c r="MSZ422" s="274"/>
      <c r="MTA422" s="274"/>
      <c r="MTB422" s="274"/>
      <c r="MTC422" s="274"/>
      <c r="MTD422" s="274"/>
      <c r="MTE422" s="274"/>
      <c r="MTF422" s="274"/>
      <c r="MTG422" s="274"/>
      <c r="MTH422" s="274"/>
      <c r="MTI422" s="274"/>
      <c r="MTJ422" s="274"/>
      <c r="MTK422" s="274"/>
      <c r="MTL422" s="274"/>
      <c r="MTM422" s="274"/>
      <c r="MTN422" s="274"/>
      <c r="MTO422" s="274"/>
      <c r="MTP422" s="274"/>
      <c r="MTQ422" s="274"/>
      <c r="MTR422" s="274"/>
      <c r="MTS422" s="274"/>
      <c r="MTT422" s="274"/>
      <c r="MTU422" s="274"/>
      <c r="MTV422" s="274"/>
      <c r="MTW422" s="274"/>
      <c r="MTX422" s="274"/>
      <c r="MTY422" s="274"/>
      <c r="MTZ422" s="274"/>
      <c r="MUA422" s="274"/>
      <c r="MUB422" s="274"/>
      <c r="MUC422" s="274"/>
      <c r="MUD422" s="274"/>
      <c r="MUE422" s="274"/>
      <c r="MUF422" s="274"/>
      <c r="MUG422" s="274"/>
      <c r="MUH422" s="274"/>
      <c r="MUI422" s="274"/>
      <c r="MUJ422" s="274"/>
      <c r="MUK422" s="274"/>
      <c r="MUL422" s="274"/>
      <c r="MUM422" s="274"/>
      <c r="MUN422" s="274"/>
      <c r="MUO422" s="274"/>
      <c r="MUP422" s="274"/>
      <c r="MUQ422" s="274"/>
      <c r="MUR422" s="274"/>
      <c r="MUS422" s="274"/>
      <c r="MUT422" s="274"/>
      <c r="MUU422" s="274"/>
      <c r="MUV422" s="274"/>
      <c r="MUW422" s="274"/>
      <c r="MUX422" s="274"/>
      <c r="MUY422" s="274"/>
      <c r="MUZ422" s="274"/>
      <c r="MVA422" s="274"/>
      <c r="MVB422" s="274"/>
      <c r="MVC422" s="274"/>
      <c r="MVD422" s="274"/>
      <c r="MVE422" s="274"/>
      <c r="MVF422" s="274"/>
      <c r="MVG422" s="274"/>
      <c r="MVH422" s="274"/>
      <c r="MVI422" s="274"/>
      <c r="MVJ422" s="274"/>
      <c r="MVK422" s="274"/>
      <c r="MVL422" s="274"/>
      <c r="MVM422" s="274"/>
      <c r="MVN422" s="274"/>
      <c r="MVO422" s="274"/>
      <c r="MVP422" s="274"/>
      <c r="MVQ422" s="274"/>
      <c r="MVR422" s="274"/>
      <c r="MVS422" s="274"/>
      <c r="MVT422" s="274"/>
      <c r="MVU422" s="274"/>
      <c r="MVV422" s="274"/>
      <c r="MVW422" s="274"/>
      <c r="MVX422" s="274"/>
      <c r="MVY422" s="274"/>
      <c r="MVZ422" s="274"/>
      <c r="MWA422" s="274"/>
      <c r="MWB422" s="274"/>
      <c r="MWC422" s="274"/>
      <c r="MWD422" s="274"/>
      <c r="MWE422" s="274"/>
      <c r="MWF422" s="274"/>
      <c r="MWG422" s="274"/>
      <c r="MWH422" s="274"/>
      <c r="MWI422" s="274"/>
      <c r="MWJ422" s="274"/>
      <c r="MWK422" s="274"/>
      <c r="MWL422" s="274"/>
      <c r="MWM422" s="274"/>
      <c r="MWN422" s="274"/>
      <c r="MWO422" s="274"/>
      <c r="MWP422" s="274"/>
      <c r="MWQ422" s="274"/>
      <c r="MWR422" s="274"/>
      <c r="MWS422" s="274"/>
      <c r="MWT422" s="274"/>
      <c r="MWU422" s="274"/>
      <c r="MWV422" s="274"/>
      <c r="MWW422" s="274"/>
      <c r="MWX422" s="274"/>
      <c r="MWY422" s="274"/>
      <c r="MWZ422" s="274"/>
      <c r="MXA422" s="274"/>
      <c r="MXB422" s="274"/>
      <c r="MXC422" s="274"/>
      <c r="MXD422" s="274"/>
      <c r="MXE422" s="274"/>
      <c r="MXF422" s="274"/>
      <c r="MXG422" s="274"/>
      <c r="MXH422" s="274"/>
      <c r="MXI422" s="274"/>
      <c r="MXJ422" s="274"/>
      <c r="MXK422" s="274"/>
      <c r="MXL422" s="274"/>
      <c r="MXM422" s="274"/>
      <c r="MXN422" s="274"/>
      <c r="MXO422" s="274"/>
      <c r="MXP422" s="274"/>
      <c r="MXQ422" s="274"/>
      <c r="MXR422" s="274"/>
      <c r="MXS422" s="274"/>
      <c r="MXT422" s="274"/>
      <c r="MXU422" s="274"/>
      <c r="MXV422" s="274"/>
      <c r="MXW422" s="274"/>
      <c r="MXX422" s="274"/>
      <c r="MXY422" s="274"/>
      <c r="MXZ422" s="274"/>
      <c r="MYA422" s="274"/>
      <c r="MYB422" s="274"/>
      <c r="MYC422" s="274"/>
      <c r="MYD422" s="274"/>
      <c r="MYE422" s="274"/>
      <c r="MYF422" s="274"/>
      <c r="MYG422" s="274"/>
      <c r="MYH422" s="274"/>
      <c r="MYI422" s="274"/>
      <c r="MYJ422" s="274"/>
      <c r="MYK422" s="274"/>
      <c r="MYL422" s="274"/>
      <c r="MYM422" s="274"/>
      <c r="MYN422" s="274"/>
      <c r="MYO422" s="274"/>
      <c r="MYP422" s="274"/>
      <c r="MYQ422" s="274"/>
      <c r="MYR422" s="274"/>
      <c r="MYS422" s="274"/>
      <c r="MYT422" s="274"/>
      <c r="MYU422" s="274"/>
      <c r="MYV422" s="274"/>
      <c r="MYW422" s="274"/>
      <c r="MYX422" s="274"/>
      <c r="MYY422" s="274"/>
      <c r="MYZ422" s="274"/>
      <c r="MZA422" s="274"/>
      <c r="MZB422" s="274"/>
      <c r="MZC422" s="274"/>
      <c r="MZD422" s="274"/>
      <c r="MZE422" s="274"/>
      <c r="MZF422" s="274"/>
      <c r="MZG422" s="274"/>
      <c r="MZH422" s="274"/>
      <c r="MZI422" s="274"/>
      <c r="MZJ422" s="274"/>
      <c r="MZK422" s="274"/>
      <c r="MZL422" s="274"/>
      <c r="MZM422" s="274"/>
      <c r="MZN422" s="274"/>
      <c r="MZO422" s="274"/>
      <c r="MZP422" s="274"/>
      <c r="MZQ422" s="274"/>
      <c r="MZR422" s="274"/>
      <c r="MZS422" s="274"/>
      <c r="MZT422" s="274"/>
      <c r="MZU422" s="274"/>
      <c r="MZV422" s="274"/>
      <c r="MZW422" s="274"/>
      <c r="MZX422" s="274"/>
      <c r="MZY422" s="274"/>
      <c r="MZZ422" s="274"/>
      <c r="NAA422" s="274"/>
      <c r="NAB422" s="274"/>
      <c r="NAC422" s="274"/>
      <c r="NAD422" s="274"/>
      <c r="NAE422" s="274"/>
      <c r="NAF422" s="274"/>
      <c r="NAG422" s="274"/>
      <c r="NAH422" s="274"/>
      <c r="NAI422" s="274"/>
      <c r="NAJ422" s="274"/>
      <c r="NAK422" s="274"/>
      <c r="NAL422" s="274"/>
      <c r="NAM422" s="274"/>
      <c r="NAN422" s="274"/>
      <c r="NAO422" s="274"/>
      <c r="NAP422" s="274"/>
      <c r="NAQ422" s="274"/>
      <c r="NAR422" s="274"/>
      <c r="NAS422" s="274"/>
      <c r="NAT422" s="274"/>
      <c r="NAU422" s="274"/>
      <c r="NAV422" s="274"/>
      <c r="NAW422" s="274"/>
      <c r="NAX422" s="274"/>
      <c r="NAY422" s="274"/>
      <c r="NAZ422" s="274"/>
      <c r="NBA422" s="274"/>
      <c r="NBB422" s="274"/>
      <c r="NBC422" s="274"/>
      <c r="NBD422" s="274"/>
      <c r="NBE422" s="274"/>
      <c r="NBF422" s="274"/>
      <c r="NBG422" s="274"/>
      <c r="NBH422" s="274"/>
      <c r="NBI422" s="274"/>
      <c r="NBJ422" s="274"/>
      <c r="NBK422" s="274"/>
      <c r="NBL422" s="274"/>
      <c r="NBM422" s="274"/>
      <c r="NBN422" s="274"/>
      <c r="NBO422" s="274"/>
      <c r="NBP422" s="274"/>
      <c r="NBQ422" s="274"/>
      <c r="NBR422" s="274"/>
      <c r="NBS422" s="274"/>
      <c r="NBT422" s="274"/>
      <c r="NBU422" s="274"/>
      <c r="NBV422" s="274"/>
      <c r="NBW422" s="274"/>
      <c r="NBX422" s="274"/>
      <c r="NBY422" s="274"/>
      <c r="NBZ422" s="274"/>
      <c r="NCA422" s="274"/>
      <c r="NCB422" s="274"/>
      <c r="NCC422" s="274"/>
      <c r="NCD422" s="274"/>
      <c r="NCE422" s="274"/>
      <c r="NCF422" s="274"/>
      <c r="NCG422" s="274"/>
      <c r="NCH422" s="274"/>
      <c r="NCI422" s="274"/>
      <c r="NCJ422" s="274"/>
      <c r="NCK422" s="274"/>
      <c r="NCL422" s="274"/>
      <c r="NCM422" s="274"/>
      <c r="NCN422" s="274"/>
      <c r="NCO422" s="274"/>
      <c r="NCP422" s="274"/>
      <c r="NCQ422" s="274"/>
      <c r="NCR422" s="274"/>
      <c r="NCS422" s="274"/>
      <c r="NCT422" s="274"/>
      <c r="NCU422" s="274"/>
      <c r="NCV422" s="274"/>
      <c r="NCW422" s="274"/>
      <c r="NCX422" s="274"/>
      <c r="NCY422" s="274"/>
      <c r="NCZ422" s="274"/>
      <c r="NDA422" s="274"/>
      <c r="NDB422" s="274"/>
      <c r="NDC422" s="274"/>
      <c r="NDD422" s="274"/>
      <c r="NDE422" s="274"/>
      <c r="NDF422" s="274"/>
      <c r="NDG422" s="274"/>
      <c r="NDH422" s="274"/>
      <c r="NDI422" s="274"/>
      <c r="NDJ422" s="274"/>
      <c r="NDK422" s="274"/>
      <c r="NDL422" s="274"/>
      <c r="NDM422" s="274"/>
      <c r="NDN422" s="274"/>
      <c r="NDO422" s="274"/>
      <c r="NDP422" s="274"/>
      <c r="NDQ422" s="274"/>
      <c r="NDR422" s="274"/>
      <c r="NDS422" s="274"/>
      <c r="NDT422" s="274"/>
      <c r="NDU422" s="274"/>
      <c r="NDV422" s="274"/>
      <c r="NDW422" s="274"/>
      <c r="NDX422" s="274"/>
      <c r="NDY422" s="274"/>
      <c r="NDZ422" s="274"/>
      <c r="NEA422" s="274"/>
      <c r="NEB422" s="274"/>
      <c r="NEC422" s="274"/>
      <c r="NED422" s="274"/>
      <c r="NEE422" s="274"/>
      <c r="NEF422" s="274"/>
      <c r="NEG422" s="274"/>
      <c r="NEH422" s="274"/>
      <c r="NEI422" s="274"/>
      <c r="NEJ422" s="274"/>
      <c r="NEK422" s="274"/>
      <c r="NEL422" s="274"/>
      <c r="NEM422" s="274"/>
      <c r="NEN422" s="274"/>
      <c r="NEO422" s="274"/>
      <c r="NEP422" s="274"/>
      <c r="NEQ422" s="274"/>
      <c r="NER422" s="274"/>
      <c r="NES422" s="274"/>
      <c r="NET422" s="274"/>
      <c r="NEU422" s="274"/>
      <c r="NEV422" s="274"/>
      <c r="NEW422" s="274"/>
      <c r="NEX422" s="274"/>
      <c r="NEY422" s="274"/>
      <c r="NEZ422" s="274"/>
      <c r="NFA422" s="274"/>
      <c r="NFB422" s="274"/>
      <c r="NFC422" s="274"/>
      <c r="NFD422" s="274"/>
      <c r="NFE422" s="274"/>
      <c r="NFF422" s="274"/>
      <c r="NFG422" s="274"/>
      <c r="NFH422" s="274"/>
      <c r="NFI422" s="274"/>
      <c r="NFJ422" s="274"/>
      <c r="NFK422" s="274"/>
      <c r="NFL422" s="274"/>
      <c r="NFM422" s="274"/>
      <c r="NFN422" s="274"/>
      <c r="NFO422" s="274"/>
      <c r="NFP422" s="274"/>
      <c r="NFQ422" s="274"/>
      <c r="NFR422" s="274"/>
      <c r="NFS422" s="274"/>
      <c r="NFT422" s="274"/>
      <c r="NFU422" s="274"/>
      <c r="NFV422" s="274"/>
      <c r="NFW422" s="274"/>
      <c r="NFX422" s="274"/>
      <c r="NFY422" s="274"/>
      <c r="NFZ422" s="274"/>
      <c r="NGA422" s="274"/>
      <c r="NGB422" s="274"/>
      <c r="NGC422" s="274"/>
      <c r="NGD422" s="274"/>
      <c r="NGE422" s="274"/>
      <c r="NGF422" s="274"/>
      <c r="NGG422" s="274"/>
      <c r="NGH422" s="274"/>
      <c r="NGI422" s="274"/>
      <c r="NGJ422" s="274"/>
      <c r="NGK422" s="274"/>
      <c r="NGL422" s="274"/>
      <c r="NGM422" s="274"/>
      <c r="NGN422" s="274"/>
      <c r="NGO422" s="274"/>
      <c r="NGP422" s="274"/>
      <c r="NGQ422" s="274"/>
      <c r="NGR422" s="274"/>
      <c r="NGS422" s="274"/>
      <c r="NGT422" s="274"/>
      <c r="NGU422" s="274"/>
      <c r="NGV422" s="274"/>
      <c r="NGW422" s="274"/>
      <c r="NGX422" s="274"/>
      <c r="NGY422" s="274"/>
      <c r="NGZ422" s="274"/>
      <c r="NHA422" s="274"/>
      <c r="NHB422" s="274"/>
      <c r="NHC422" s="274"/>
      <c r="NHD422" s="274"/>
      <c r="NHE422" s="274"/>
      <c r="NHF422" s="274"/>
      <c r="NHG422" s="274"/>
      <c r="NHH422" s="274"/>
      <c r="NHI422" s="274"/>
      <c r="NHJ422" s="274"/>
      <c r="NHK422" s="274"/>
      <c r="NHL422" s="274"/>
      <c r="NHM422" s="274"/>
      <c r="NHN422" s="274"/>
      <c r="NHO422" s="274"/>
      <c r="NHP422" s="274"/>
      <c r="NHQ422" s="274"/>
      <c r="NHR422" s="274"/>
      <c r="NHS422" s="274"/>
      <c r="NHT422" s="274"/>
      <c r="NHU422" s="274"/>
      <c r="NHV422" s="274"/>
      <c r="NHW422" s="274"/>
      <c r="NHX422" s="274"/>
      <c r="NHY422" s="274"/>
      <c r="NHZ422" s="274"/>
      <c r="NIA422" s="274"/>
      <c r="NIB422" s="274"/>
      <c r="NIC422" s="274"/>
      <c r="NID422" s="274"/>
      <c r="NIE422" s="274"/>
      <c r="NIF422" s="274"/>
      <c r="NIG422" s="274"/>
      <c r="NIH422" s="274"/>
      <c r="NII422" s="274"/>
      <c r="NIJ422" s="274"/>
      <c r="NIK422" s="274"/>
      <c r="NIL422" s="274"/>
      <c r="NIM422" s="274"/>
      <c r="NIN422" s="274"/>
      <c r="NIO422" s="274"/>
      <c r="NIP422" s="274"/>
      <c r="NIQ422" s="274"/>
      <c r="NIR422" s="274"/>
      <c r="NIS422" s="274"/>
      <c r="NIT422" s="274"/>
      <c r="NIU422" s="274"/>
      <c r="NIV422" s="274"/>
      <c r="NIW422" s="274"/>
      <c r="NIX422" s="274"/>
      <c r="NIY422" s="274"/>
      <c r="NIZ422" s="274"/>
      <c r="NJA422" s="274"/>
      <c r="NJB422" s="274"/>
      <c r="NJC422" s="274"/>
      <c r="NJD422" s="274"/>
      <c r="NJE422" s="274"/>
      <c r="NJF422" s="274"/>
      <c r="NJG422" s="274"/>
      <c r="NJH422" s="274"/>
      <c r="NJI422" s="274"/>
      <c r="NJJ422" s="274"/>
      <c r="NJK422" s="274"/>
      <c r="NJL422" s="274"/>
      <c r="NJM422" s="274"/>
      <c r="NJN422" s="274"/>
      <c r="NJO422" s="274"/>
      <c r="NJP422" s="274"/>
      <c r="NJQ422" s="274"/>
      <c r="NJR422" s="274"/>
      <c r="NJS422" s="274"/>
      <c r="NJT422" s="274"/>
      <c r="NJU422" s="274"/>
      <c r="NJV422" s="274"/>
      <c r="NJW422" s="274"/>
      <c r="NJX422" s="274"/>
      <c r="NJY422" s="274"/>
      <c r="NJZ422" s="274"/>
      <c r="NKA422" s="274"/>
      <c r="NKB422" s="274"/>
      <c r="NKC422" s="274"/>
      <c r="NKD422" s="274"/>
      <c r="NKE422" s="274"/>
      <c r="NKF422" s="274"/>
      <c r="NKG422" s="274"/>
      <c r="NKH422" s="274"/>
      <c r="NKI422" s="274"/>
      <c r="NKJ422" s="274"/>
      <c r="NKK422" s="274"/>
      <c r="NKL422" s="274"/>
      <c r="NKM422" s="274"/>
      <c r="NKN422" s="274"/>
      <c r="NKO422" s="274"/>
      <c r="NKP422" s="274"/>
      <c r="NKQ422" s="274"/>
      <c r="NKR422" s="274"/>
      <c r="NKS422" s="274"/>
      <c r="NKT422" s="274"/>
      <c r="NKU422" s="274"/>
      <c r="NKV422" s="274"/>
      <c r="NKW422" s="274"/>
      <c r="NKX422" s="274"/>
      <c r="NKY422" s="274"/>
      <c r="NKZ422" s="274"/>
      <c r="NLA422" s="274"/>
      <c r="NLB422" s="274"/>
      <c r="NLC422" s="274"/>
      <c r="NLD422" s="274"/>
      <c r="NLE422" s="274"/>
      <c r="NLF422" s="274"/>
      <c r="NLG422" s="274"/>
      <c r="NLH422" s="274"/>
      <c r="NLI422" s="274"/>
      <c r="NLJ422" s="274"/>
      <c r="NLK422" s="274"/>
      <c r="NLL422" s="274"/>
      <c r="NLM422" s="274"/>
      <c r="NLN422" s="274"/>
      <c r="NLO422" s="274"/>
      <c r="NLP422" s="274"/>
      <c r="NLQ422" s="274"/>
      <c r="NLR422" s="274"/>
      <c r="NLS422" s="274"/>
      <c r="NLT422" s="274"/>
      <c r="NLU422" s="274"/>
      <c r="NLV422" s="274"/>
      <c r="NLW422" s="274"/>
      <c r="NLX422" s="274"/>
      <c r="NLY422" s="274"/>
      <c r="NLZ422" s="274"/>
      <c r="NMA422" s="274"/>
      <c r="NMB422" s="274"/>
      <c r="NMC422" s="274"/>
      <c r="NMD422" s="274"/>
      <c r="NME422" s="274"/>
      <c r="NMF422" s="274"/>
      <c r="NMG422" s="274"/>
      <c r="NMH422" s="274"/>
      <c r="NMI422" s="274"/>
      <c r="NMJ422" s="274"/>
      <c r="NMK422" s="274"/>
      <c r="NML422" s="274"/>
      <c r="NMM422" s="274"/>
      <c r="NMN422" s="274"/>
      <c r="NMO422" s="274"/>
      <c r="NMP422" s="274"/>
      <c r="NMQ422" s="274"/>
      <c r="NMR422" s="274"/>
      <c r="NMS422" s="274"/>
      <c r="NMT422" s="274"/>
      <c r="NMU422" s="274"/>
      <c r="NMV422" s="274"/>
      <c r="NMW422" s="274"/>
      <c r="NMX422" s="274"/>
      <c r="NMY422" s="274"/>
      <c r="NMZ422" s="274"/>
      <c r="NNA422" s="274"/>
      <c r="NNB422" s="274"/>
      <c r="NNC422" s="274"/>
      <c r="NND422" s="274"/>
      <c r="NNE422" s="274"/>
      <c r="NNF422" s="274"/>
      <c r="NNG422" s="274"/>
      <c r="NNH422" s="274"/>
      <c r="NNI422" s="274"/>
      <c r="NNJ422" s="274"/>
      <c r="NNK422" s="274"/>
      <c r="NNL422" s="274"/>
      <c r="NNM422" s="274"/>
      <c r="NNN422" s="274"/>
      <c r="NNO422" s="274"/>
      <c r="NNP422" s="274"/>
      <c r="NNQ422" s="274"/>
      <c r="NNR422" s="274"/>
      <c r="NNS422" s="274"/>
      <c r="NNT422" s="274"/>
      <c r="NNU422" s="274"/>
      <c r="NNV422" s="274"/>
      <c r="NNW422" s="274"/>
      <c r="NNX422" s="274"/>
      <c r="NNY422" s="274"/>
      <c r="NNZ422" s="274"/>
      <c r="NOA422" s="274"/>
      <c r="NOB422" s="274"/>
      <c r="NOC422" s="274"/>
      <c r="NOD422" s="274"/>
      <c r="NOE422" s="274"/>
      <c r="NOF422" s="274"/>
      <c r="NOG422" s="274"/>
      <c r="NOH422" s="274"/>
      <c r="NOI422" s="274"/>
      <c r="NOJ422" s="274"/>
      <c r="NOK422" s="274"/>
      <c r="NOL422" s="274"/>
      <c r="NOM422" s="274"/>
      <c r="NON422" s="274"/>
      <c r="NOO422" s="274"/>
      <c r="NOP422" s="274"/>
      <c r="NOQ422" s="274"/>
      <c r="NOR422" s="274"/>
      <c r="NOS422" s="274"/>
      <c r="NOT422" s="274"/>
      <c r="NOU422" s="274"/>
      <c r="NOV422" s="274"/>
      <c r="NOW422" s="274"/>
      <c r="NOX422" s="274"/>
      <c r="NOY422" s="274"/>
      <c r="NOZ422" s="274"/>
      <c r="NPA422" s="274"/>
      <c r="NPB422" s="274"/>
      <c r="NPC422" s="274"/>
      <c r="NPD422" s="274"/>
      <c r="NPE422" s="274"/>
      <c r="NPF422" s="274"/>
      <c r="NPG422" s="274"/>
      <c r="NPH422" s="274"/>
      <c r="NPI422" s="274"/>
      <c r="NPJ422" s="274"/>
      <c r="NPK422" s="274"/>
      <c r="NPL422" s="274"/>
      <c r="NPM422" s="274"/>
      <c r="NPN422" s="274"/>
      <c r="NPO422" s="274"/>
      <c r="NPP422" s="274"/>
      <c r="NPQ422" s="274"/>
      <c r="NPR422" s="274"/>
      <c r="NPS422" s="274"/>
      <c r="NPT422" s="274"/>
      <c r="NPU422" s="274"/>
      <c r="NPV422" s="274"/>
      <c r="NPW422" s="274"/>
      <c r="NPX422" s="274"/>
      <c r="NPY422" s="274"/>
      <c r="NPZ422" s="274"/>
      <c r="NQA422" s="274"/>
      <c r="NQB422" s="274"/>
      <c r="NQC422" s="274"/>
      <c r="NQD422" s="274"/>
      <c r="NQE422" s="274"/>
      <c r="NQF422" s="274"/>
      <c r="NQG422" s="274"/>
      <c r="NQH422" s="274"/>
      <c r="NQI422" s="274"/>
      <c r="NQJ422" s="274"/>
      <c r="NQK422" s="274"/>
      <c r="NQL422" s="274"/>
      <c r="NQM422" s="274"/>
      <c r="NQN422" s="274"/>
      <c r="NQO422" s="274"/>
      <c r="NQP422" s="274"/>
      <c r="NQQ422" s="274"/>
      <c r="NQR422" s="274"/>
      <c r="NQS422" s="274"/>
      <c r="NQT422" s="274"/>
      <c r="NQU422" s="274"/>
      <c r="NQV422" s="274"/>
      <c r="NQW422" s="274"/>
      <c r="NQX422" s="274"/>
      <c r="NQY422" s="274"/>
      <c r="NQZ422" s="274"/>
      <c r="NRA422" s="274"/>
      <c r="NRB422" s="274"/>
      <c r="NRC422" s="274"/>
      <c r="NRD422" s="274"/>
      <c r="NRE422" s="274"/>
      <c r="NRF422" s="274"/>
      <c r="NRG422" s="274"/>
      <c r="NRH422" s="274"/>
      <c r="NRI422" s="274"/>
      <c r="NRJ422" s="274"/>
      <c r="NRK422" s="274"/>
      <c r="NRL422" s="274"/>
      <c r="NRM422" s="274"/>
      <c r="NRN422" s="274"/>
      <c r="NRO422" s="274"/>
      <c r="NRP422" s="274"/>
      <c r="NRQ422" s="274"/>
      <c r="NRR422" s="274"/>
      <c r="NRS422" s="274"/>
      <c r="NRT422" s="274"/>
      <c r="NRU422" s="274"/>
      <c r="NRV422" s="274"/>
      <c r="NRW422" s="274"/>
      <c r="NRX422" s="274"/>
      <c r="NRY422" s="274"/>
      <c r="NRZ422" s="274"/>
      <c r="NSA422" s="274"/>
      <c r="NSB422" s="274"/>
      <c r="NSC422" s="274"/>
      <c r="NSD422" s="274"/>
      <c r="NSE422" s="274"/>
      <c r="NSF422" s="274"/>
      <c r="NSG422" s="274"/>
      <c r="NSH422" s="274"/>
      <c r="NSI422" s="274"/>
      <c r="NSJ422" s="274"/>
      <c r="NSK422" s="274"/>
      <c r="NSL422" s="274"/>
      <c r="NSM422" s="274"/>
      <c r="NSN422" s="274"/>
      <c r="NSO422" s="274"/>
      <c r="NSP422" s="274"/>
      <c r="NSQ422" s="274"/>
      <c r="NSR422" s="274"/>
      <c r="NSS422" s="274"/>
      <c r="NST422" s="274"/>
      <c r="NSU422" s="274"/>
      <c r="NSV422" s="274"/>
      <c r="NSW422" s="274"/>
      <c r="NSX422" s="274"/>
      <c r="NSY422" s="274"/>
      <c r="NSZ422" s="274"/>
      <c r="NTA422" s="274"/>
      <c r="NTB422" s="274"/>
      <c r="NTC422" s="274"/>
      <c r="NTD422" s="274"/>
      <c r="NTE422" s="274"/>
      <c r="NTF422" s="274"/>
      <c r="NTG422" s="274"/>
      <c r="NTH422" s="274"/>
      <c r="NTI422" s="274"/>
      <c r="NTJ422" s="274"/>
      <c r="NTK422" s="274"/>
      <c r="NTL422" s="274"/>
      <c r="NTM422" s="274"/>
      <c r="NTN422" s="274"/>
      <c r="NTO422" s="274"/>
      <c r="NTP422" s="274"/>
      <c r="NTQ422" s="274"/>
      <c r="NTR422" s="274"/>
      <c r="NTS422" s="274"/>
      <c r="NTT422" s="274"/>
      <c r="NTU422" s="274"/>
      <c r="NTV422" s="274"/>
      <c r="NTW422" s="274"/>
      <c r="NTX422" s="274"/>
      <c r="NTY422" s="274"/>
      <c r="NTZ422" s="274"/>
      <c r="NUA422" s="274"/>
      <c r="NUB422" s="274"/>
      <c r="NUC422" s="274"/>
      <c r="NUD422" s="274"/>
      <c r="NUE422" s="274"/>
      <c r="NUF422" s="274"/>
      <c r="NUG422" s="274"/>
      <c r="NUH422" s="274"/>
      <c r="NUI422" s="274"/>
      <c r="NUJ422" s="274"/>
      <c r="NUK422" s="274"/>
      <c r="NUL422" s="274"/>
      <c r="NUM422" s="274"/>
      <c r="NUN422" s="274"/>
      <c r="NUO422" s="274"/>
      <c r="NUP422" s="274"/>
      <c r="NUQ422" s="274"/>
      <c r="NUR422" s="274"/>
      <c r="NUS422" s="274"/>
      <c r="NUT422" s="274"/>
      <c r="NUU422" s="274"/>
      <c r="NUV422" s="274"/>
      <c r="NUW422" s="274"/>
      <c r="NUX422" s="274"/>
      <c r="NUY422" s="274"/>
      <c r="NUZ422" s="274"/>
      <c r="NVA422" s="274"/>
      <c r="NVB422" s="274"/>
      <c r="NVC422" s="274"/>
      <c r="NVD422" s="274"/>
      <c r="NVE422" s="274"/>
      <c r="NVF422" s="274"/>
      <c r="NVG422" s="274"/>
      <c r="NVH422" s="274"/>
      <c r="NVI422" s="274"/>
      <c r="NVJ422" s="274"/>
      <c r="NVK422" s="274"/>
      <c r="NVL422" s="274"/>
      <c r="NVM422" s="274"/>
      <c r="NVN422" s="274"/>
      <c r="NVO422" s="274"/>
      <c r="NVP422" s="274"/>
      <c r="NVQ422" s="274"/>
      <c r="NVR422" s="274"/>
      <c r="NVS422" s="274"/>
      <c r="NVT422" s="274"/>
      <c r="NVU422" s="274"/>
      <c r="NVV422" s="274"/>
      <c r="NVW422" s="274"/>
      <c r="NVX422" s="274"/>
      <c r="NVY422" s="274"/>
      <c r="NVZ422" s="274"/>
      <c r="NWA422" s="274"/>
      <c r="NWB422" s="274"/>
      <c r="NWC422" s="274"/>
      <c r="NWD422" s="274"/>
      <c r="NWE422" s="274"/>
      <c r="NWF422" s="274"/>
      <c r="NWG422" s="274"/>
      <c r="NWH422" s="274"/>
      <c r="NWI422" s="274"/>
      <c r="NWJ422" s="274"/>
      <c r="NWK422" s="274"/>
      <c r="NWL422" s="274"/>
      <c r="NWM422" s="274"/>
      <c r="NWN422" s="274"/>
      <c r="NWO422" s="274"/>
      <c r="NWP422" s="274"/>
      <c r="NWQ422" s="274"/>
      <c r="NWR422" s="274"/>
      <c r="NWS422" s="274"/>
      <c r="NWT422" s="274"/>
      <c r="NWU422" s="274"/>
      <c r="NWV422" s="274"/>
      <c r="NWW422" s="274"/>
      <c r="NWX422" s="274"/>
      <c r="NWY422" s="274"/>
      <c r="NWZ422" s="274"/>
      <c r="NXA422" s="274"/>
      <c r="NXB422" s="274"/>
      <c r="NXC422" s="274"/>
      <c r="NXD422" s="274"/>
      <c r="NXE422" s="274"/>
      <c r="NXF422" s="274"/>
      <c r="NXG422" s="274"/>
      <c r="NXH422" s="274"/>
      <c r="NXI422" s="274"/>
      <c r="NXJ422" s="274"/>
      <c r="NXK422" s="274"/>
      <c r="NXL422" s="274"/>
      <c r="NXM422" s="274"/>
      <c r="NXN422" s="274"/>
      <c r="NXO422" s="274"/>
      <c r="NXP422" s="274"/>
      <c r="NXQ422" s="274"/>
      <c r="NXR422" s="274"/>
      <c r="NXS422" s="274"/>
      <c r="NXT422" s="274"/>
      <c r="NXU422" s="274"/>
      <c r="NXV422" s="274"/>
      <c r="NXW422" s="274"/>
      <c r="NXX422" s="274"/>
      <c r="NXY422" s="274"/>
      <c r="NXZ422" s="274"/>
      <c r="NYA422" s="274"/>
      <c r="NYB422" s="274"/>
      <c r="NYC422" s="274"/>
      <c r="NYD422" s="274"/>
      <c r="NYE422" s="274"/>
      <c r="NYF422" s="274"/>
      <c r="NYG422" s="274"/>
      <c r="NYH422" s="274"/>
      <c r="NYI422" s="274"/>
      <c r="NYJ422" s="274"/>
      <c r="NYK422" s="274"/>
      <c r="NYL422" s="274"/>
      <c r="NYM422" s="274"/>
      <c r="NYN422" s="274"/>
      <c r="NYO422" s="274"/>
      <c r="NYP422" s="274"/>
      <c r="NYQ422" s="274"/>
      <c r="NYR422" s="274"/>
      <c r="NYS422" s="274"/>
      <c r="NYT422" s="274"/>
      <c r="NYU422" s="274"/>
      <c r="NYV422" s="274"/>
      <c r="NYW422" s="274"/>
      <c r="NYX422" s="274"/>
      <c r="NYY422" s="274"/>
      <c r="NYZ422" s="274"/>
      <c r="NZA422" s="274"/>
      <c r="NZB422" s="274"/>
      <c r="NZC422" s="274"/>
      <c r="NZD422" s="274"/>
      <c r="NZE422" s="274"/>
      <c r="NZF422" s="274"/>
      <c r="NZG422" s="274"/>
      <c r="NZH422" s="274"/>
      <c r="NZI422" s="274"/>
      <c r="NZJ422" s="274"/>
      <c r="NZK422" s="274"/>
      <c r="NZL422" s="274"/>
      <c r="NZM422" s="274"/>
      <c r="NZN422" s="274"/>
      <c r="NZO422" s="274"/>
      <c r="NZP422" s="274"/>
      <c r="NZQ422" s="274"/>
      <c r="NZR422" s="274"/>
      <c r="NZS422" s="274"/>
      <c r="NZT422" s="274"/>
      <c r="NZU422" s="274"/>
      <c r="NZV422" s="274"/>
      <c r="NZW422" s="274"/>
      <c r="NZX422" s="274"/>
      <c r="NZY422" s="274"/>
      <c r="NZZ422" s="274"/>
      <c r="OAA422" s="274"/>
      <c r="OAB422" s="274"/>
      <c r="OAC422" s="274"/>
      <c r="OAD422" s="274"/>
      <c r="OAE422" s="274"/>
      <c r="OAF422" s="274"/>
      <c r="OAG422" s="274"/>
      <c r="OAH422" s="274"/>
      <c r="OAI422" s="274"/>
      <c r="OAJ422" s="274"/>
      <c r="OAK422" s="274"/>
      <c r="OAL422" s="274"/>
      <c r="OAM422" s="274"/>
      <c r="OAN422" s="274"/>
      <c r="OAO422" s="274"/>
      <c r="OAP422" s="274"/>
      <c r="OAQ422" s="274"/>
      <c r="OAR422" s="274"/>
      <c r="OAS422" s="274"/>
      <c r="OAT422" s="274"/>
      <c r="OAU422" s="274"/>
      <c r="OAV422" s="274"/>
      <c r="OAW422" s="274"/>
      <c r="OAX422" s="274"/>
      <c r="OAY422" s="274"/>
      <c r="OAZ422" s="274"/>
      <c r="OBA422" s="274"/>
      <c r="OBB422" s="274"/>
      <c r="OBC422" s="274"/>
      <c r="OBD422" s="274"/>
      <c r="OBE422" s="274"/>
      <c r="OBF422" s="274"/>
      <c r="OBG422" s="274"/>
      <c r="OBH422" s="274"/>
      <c r="OBI422" s="274"/>
      <c r="OBJ422" s="274"/>
      <c r="OBK422" s="274"/>
      <c r="OBL422" s="274"/>
      <c r="OBM422" s="274"/>
      <c r="OBN422" s="274"/>
      <c r="OBO422" s="274"/>
      <c r="OBP422" s="274"/>
      <c r="OBQ422" s="274"/>
      <c r="OBR422" s="274"/>
      <c r="OBS422" s="274"/>
      <c r="OBT422" s="274"/>
      <c r="OBU422" s="274"/>
      <c r="OBV422" s="274"/>
      <c r="OBW422" s="274"/>
      <c r="OBX422" s="274"/>
      <c r="OBY422" s="274"/>
      <c r="OBZ422" s="274"/>
      <c r="OCA422" s="274"/>
      <c r="OCB422" s="274"/>
      <c r="OCC422" s="274"/>
      <c r="OCD422" s="274"/>
      <c r="OCE422" s="274"/>
      <c r="OCF422" s="274"/>
      <c r="OCG422" s="274"/>
      <c r="OCH422" s="274"/>
      <c r="OCI422" s="274"/>
      <c r="OCJ422" s="274"/>
      <c r="OCK422" s="274"/>
      <c r="OCL422" s="274"/>
      <c r="OCM422" s="274"/>
      <c r="OCN422" s="274"/>
      <c r="OCO422" s="274"/>
      <c r="OCP422" s="274"/>
      <c r="OCQ422" s="274"/>
      <c r="OCR422" s="274"/>
      <c r="OCS422" s="274"/>
      <c r="OCT422" s="274"/>
      <c r="OCU422" s="274"/>
      <c r="OCV422" s="274"/>
      <c r="OCW422" s="274"/>
      <c r="OCX422" s="274"/>
      <c r="OCY422" s="274"/>
      <c r="OCZ422" s="274"/>
      <c r="ODA422" s="274"/>
      <c r="ODB422" s="274"/>
      <c r="ODC422" s="274"/>
      <c r="ODD422" s="274"/>
      <c r="ODE422" s="274"/>
      <c r="ODF422" s="274"/>
      <c r="ODG422" s="274"/>
      <c r="ODH422" s="274"/>
      <c r="ODI422" s="274"/>
      <c r="ODJ422" s="274"/>
      <c r="ODK422" s="274"/>
      <c r="ODL422" s="274"/>
      <c r="ODM422" s="274"/>
      <c r="ODN422" s="274"/>
      <c r="ODO422" s="274"/>
      <c r="ODP422" s="274"/>
      <c r="ODQ422" s="274"/>
      <c r="ODR422" s="274"/>
      <c r="ODS422" s="274"/>
      <c r="ODT422" s="274"/>
      <c r="ODU422" s="274"/>
      <c r="ODV422" s="274"/>
      <c r="ODW422" s="274"/>
      <c r="ODX422" s="274"/>
      <c r="ODY422" s="274"/>
      <c r="ODZ422" s="274"/>
      <c r="OEA422" s="274"/>
      <c r="OEB422" s="274"/>
      <c r="OEC422" s="274"/>
      <c r="OED422" s="274"/>
      <c r="OEE422" s="274"/>
      <c r="OEF422" s="274"/>
      <c r="OEG422" s="274"/>
      <c r="OEH422" s="274"/>
      <c r="OEI422" s="274"/>
      <c r="OEJ422" s="274"/>
      <c r="OEK422" s="274"/>
      <c r="OEL422" s="274"/>
      <c r="OEM422" s="274"/>
      <c r="OEN422" s="274"/>
      <c r="OEO422" s="274"/>
      <c r="OEP422" s="274"/>
      <c r="OEQ422" s="274"/>
      <c r="OER422" s="274"/>
      <c r="OES422" s="274"/>
      <c r="OET422" s="274"/>
      <c r="OEU422" s="274"/>
      <c r="OEV422" s="274"/>
      <c r="OEW422" s="274"/>
      <c r="OEX422" s="274"/>
      <c r="OEY422" s="274"/>
      <c r="OEZ422" s="274"/>
      <c r="OFA422" s="274"/>
      <c r="OFB422" s="274"/>
      <c r="OFC422" s="274"/>
      <c r="OFD422" s="274"/>
      <c r="OFE422" s="274"/>
      <c r="OFF422" s="274"/>
      <c r="OFG422" s="274"/>
      <c r="OFH422" s="274"/>
      <c r="OFI422" s="274"/>
      <c r="OFJ422" s="274"/>
      <c r="OFK422" s="274"/>
      <c r="OFL422" s="274"/>
      <c r="OFM422" s="274"/>
      <c r="OFN422" s="274"/>
      <c r="OFO422" s="274"/>
      <c r="OFP422" s="274"/>
      <c r="OFQ422" s="274"/>
      <c r="OFR422" s="274"/>
      <c r="OFS422" s="274"/>
      <c r="OFT422" s="274"/>
      <c r="OFU422" s="274"/>
      <c r="OFV422" s="274"/>
      <c r="OFW422" s="274"/>
      <c r="OFX422" s="274"/>
      <c r="OFY422" s="274"/>
      <c r="OFZ422" s="274"/>
      <c r="OGA422" s="274"/>
      <c r="OGB422" s="274"/>
      <c r="OGC422" s="274"/>
      <c r="OGD422" s="274"/>
      <c r="OGE422" s="274"/>
      <c r="OGF422" s="274"/>
      <c r="OGG422" s="274"/>
      <c r="OGH422" s="274"/>
      <c r="OGI422" s="274"/>
      <c r="OGJ422" s="274"/>
      <c r="OGK422" s="274"/>
      <c r="OGL422" s="274"/>
      <c r="OGM422" s="274"/>
      <c r="OGN422" s="274"/>
      <c r="OGO422" s="274"/>
      <c r="OGP422" s="274"/>
      <c r="OGQ422" s="274"/>
      <c r="OGR422" s="274"/>
      <c r="OGS422" s="274"/>
      <c r="OGT422" s="274"/>
      <c r="OGU422" s="274"/>
      <c r="OGV422" s="274"/>
      <c r="OGW422" s="274"/>
      <c r="OGX422" s="274"/>
      <c r="OGY422" s="274"/>
      <c r="OGZ422" s="274"/>
      <c r="OHA422" s="274"/>
      <c r="OHB422" s="274"/>
      <c r="OHC422" s="274"/>
      <c r="OHD422" s="274"/>
      <c r="OHE422" s="274"/>
      <c r="OHF422" s="274"/>
      <c r="OHG422" s="274"/>
      <c r="OHH422" s="274"/>
      <c r="OHI422" s="274"/>
      <c r="OHJ422" s="274"/>
      <c r="OHK422" s="274"/>
      <c r="OHL422" s="274"/>
      <c r="OHM422" s="274"/>
      <c r="OHN422" s="274"/>
      <c r="OHO422" s="274"/>
      <c r="OHP422" s="274"/>
      <c r="OHQ422" s="274"/>
      <c r="OHR422" s="274"/>
      <c r="OHS422" s="274"/>
      <c r="OHT422" s="274"/>
      <c r="OHU422" s="274"/>
      <c r="OHV422" s="274"/>
      <c r="OHW422" s="274"/>
      <c r="OHX422" s="274"/>
      <c r="OHY422" s="274"/>
      <c r="OHZ422" s="274"/>
      <c r="OIA422" s="274"/>
      <c r="OIB422" s="274"/>
      <c r="OIC422" s="274"/>
      <c r="OID422" s="274"/>
      <c r="OIE422" s="274"/>
      <c r="OIF422" s="274"/>
      <c r="OIG422" s="274"/>
      <c r="OIH422" s="274"/>
      <c r="OII422" s="274"/>
      <c r="OIJ422" s="274"/>
      <c r="OIK422" s="274"/>
      <c r="OIL422" s="274"/>
      <c r="OIM422" s="274"/>
      <c r="OIN422" s="274"/>
      <c r="OIO422" s="274"/>
      <c r="OIP422" s="274"/>
      <c r="OIQ422" s="274"/>
      <c r="OIR422" s="274"/>
      <c r="OIS422" s="274"/>
      <c r="OIT422" s="274"/>
      <c r="OIU422" s="274"/>
      <c r="OIV422" s="274"/>
      <c r="OIW422" s="274"/>
      <c r="OIX422" s="274"/>
      <c r="OIY422" s="274"/>
      <c r="OIZ422" s="274"/>
      <c r="OJA422" s="274"/>
      <c r="OJB422" s="274"/>
      <c r="OJC422" s="274"/>
      <c r="OJD422" s="274"/>
      <c r="OJE422" s="274"/>
      <c r="OJF422" s="274"/>
      <c r="OJG422" s="274"/>
      <c r="OJH422" s="274"/>
      <c r="OJI422" s="274"/>
      <c r="OJJ422" s="274"/>
      <c r="OJK422" s="274"/>
      <c r="OJL422" s="274"/>
      <c r="OJM422" s="274"/>
      <c r="OJN422" s="274"/>
      <c r="OJO422" s="274"/>
      <c r="OJP422" s="274"/>
      <c r="OJQ422" s="274"/>
      <c r="OJR422" s="274"/>
      <c r="OJS422" s="274"/>
      <c r="OJT422" s="274"/>
      <c r="OJU422" s="274"/>
      <c r="OJV422" s="274"/>
      <c r="OJW422" s="274"/>
      <c r="OJX422" s="274"/>
      <c r="OJY422" s="274"/>
      <c r="OJZ422" s="274"/>
      <c r="OKA422" s="274"/>
      <c r="OKB422" s="274"/>
      <c r="OKC422" s="274"/>
      <c r="OKD422" s="274"/>
      <c r="OKE422" s="274"/>
      <c r="OKF422" s="274"/>
      <c r="OKG422" s="274"/>
      <c r="OKH422" s="274"/>
      <c r="OKI422" s="274"/>
      <c r="OKJ422" s="274"/>
      <c r="OKK422" s="274"/>
      <c r="OKL422" s="274"/>
      <c r="OKM422" s="274"/>
      <c r="OKN422" s="274"/>
      <c r="OKO422" s="274"/>
      <c r="OKP422" s="274"/>
      <c r="OKQ422" s="274"/>
      <c r="OKR422" s="274"/>
      <c r="OKS422" s="274"/>
      <c r="OKT422" s="274"/>
      <c r="OKU422" s="274"/>
      <c r="OKV422" s="274"/>
      <c r="OKW422" s="274"/>
      <c r="OKX422" s="274"/>
      <c r="OKY422" s="274"/>
      <c r="OKZ422" s="274"/>
      <c r="OLA422" s="274"/>
      <c r="OLB422" s="274"/>
      <c r="OLC422" s="274"/>
      <c r="OLD422" s="274"/>
      <c r="OLE422" s="274"/>
      <c r="OLF422" s="274"/>
      <c r="OLG422" s="274"/>
      <c r="OLH422" s="274"/>
      <c r="OLI422" s="274"/>
      <c r="OLJ422" s="274"/>
      <c r="OLK422" s="274"/>
      <c r="OLL422" s="274"/>
      <c r="OLM422" s="274"/>
      <c r="OLN422" s="274"/>
      <c r="OLO422" s="274"/>
      <c r="OLP422" s="274"/>
      <c r="OLQ422" s="274"/>
      <c r="OLR422" s="274"/>
      <c r="OLS422" s="274"/>
      <c r="OLT422" s="274"/>
      <c r="OLU422" s="274"/>
      <c r="OLV422" s="274"/>
      <c r="OLW422" s="274"/>
      <c r="OLX422" s="274"/>
      <c r="OLY422" s="274"/>
      <c r="OLZ422" s="274"/>
      <c r="OMA422" s="274"/>
      <c r="OMB422" s="274"/>
      <c r="OMC422" s="274"/>
      <c r="OMD422" s="274"/>
      <c r="OME422" s="274"/>
      <c r="OMF422" s="274"/>
      <c r="OMG422" s="274"/>
      <c r="OMH422" s="274"/>
      <c r="OMI422" s="274"/>
      <c r="OMJ422" s="274"/>
      <c r="OMK422" s="274"/>
      <c r="OML422" s="274"/>
      <c r="OMM422" s="274"/>
      <c r="OMN422" s="274"/>
      <c r="OMO422" s="274"/>
      <c r="OMP422" s="274"/>
      <c r="OMQ422" s="274"/>
      <c r="OMR422" s="274"/>
      <c r="OMS422" s="274"/>
      <c r="OMT422" s="274"/>
      <c r="OMU422" s="274"/>
      <c r="OMV422" s="274"/>
      <c r="OMW422" s="274"/>
      <c r="OMX422" s="274"/>
      <c r="OMY422" s="274"/>
      <c r="OMZ422" s="274"/>
      <c r="ONA422" s="274"/>
      <c r="ONB422" s="274"/>
      <c r="ONC422" s="274"/>
      <c r="OND422" s="274"/>
      <c r="ONE422" s="274"/>
      <c r="ONF422" s="274"/>
      <c r="ONG422" s="274"/>
      <c r="ONH422" s="274"/>
      <c r="ONI422" s="274"/>
      <c r="ONJ422" s="274"/>
      <c r="ONK422" s="274"/>
      <c r="ONL422" s="274"/>
      <c r="ONM422" s="274"/>
      <c r="ONN422" s="274"/>
      <c r="ONO422" s="274"/>
      <c r="ONP422" s="274"/>
      <c r="ONQ422" s="274"/>
      <c r="ONR422" s="274"/>
      <c r="ONS422" s="274"/>
      <c r="ONT422" s="274"/>
      <c r="ONU422" s="274"/>
      <c r="ONV422" s="274"/>
      <c r="ONW422" s="274"/>
      <c r="ONX422" s="274"/>
      <c r="ONY422" s="274"/>
      <c r="ONZ422" s="274"/>
      <c r="OOA422" s="274"/>
      <c r="OOB422" s="274"/>
      <c r="OOC422" s="274"/>
      <c r="OOD422" s="274"/>
      <c r="OOE422" s="274"/>
      <c r="OOF422" s="274"/>
      <c r="OOG422" s="274"/>
      <c r="OOH422" s="274"/>
      <c r="OOI422" s="274"/>
      <c r="OOJ422" s="274"/>
      <c r="OOK422" s="274"/>
      <c r="OOL422" s="274"/>
      <c r="OOM422" s="274"/>
      <c r="OON422" s="274"/>
      <c r="OOO422" s="274"/>
      <c r="OOP422" s="274"/>
      <c r="OOQ422" s="274"/>
      <c r="OOR422" s="274"/>
      <c r="OOS422" s="274"/>
      <c r="OOT422" s="274"/>
      <c r="OOU422" s="274"/>
      <c r="OOV422" s="274"/>
      <c r="OOW422" s="274"/>
      <c r="OOX422" s="274"/>
      <c r="OOY422" s="274"/>
      <c r="OOZ422" s="274"/>
      <c r="OPA422" s="274"/>
      <c r="OPB422" s="274"/>
      <c r="OPC422" s="274"/>
      <c r="OPD422" s="274"/>
      <c r="OPE422" s="274"/>
      <c r="OPF422" s="274"/>
      <c r="OPG422" s="274"/>
      <c r="OPH422" s="274"/>
      <c r="OPI422" s="274"/>
      <c r="OPJ422" s="274"/>
      <c r="OPK422" s="274"/>
      <c r="OPL422" s="274"/>
      <c r="OPM422" s="274"/>
      <c r="OPN422" s="274"/>
      <c r="OPO422" s="274"/>
      <c r="OPP422" s="274"/>
      <c r="OPQ422" s="274"/>
      <c r="OPR422" s="274"/>
      <c r="OPS422" s="274"/>
      <c r="OPT422" s="274"/>
      <c r="OPU422" s="274"/>
      <c r="OPV422" s="274"/>
      <c r="OPW422" s="274"/>
      <c r="OPX422" s="274"/>
      <c r="OPY422" s="274"/>
      <c r="OPZ422" s="274"/>
      <c r="OQA422" s="274"/>
      <c r="OQB422" s="274"/>
      <c r="OQC422" s="274"/>
      <c r="OQD422" s="274"/>
      <c r="OQE422" s="274"/>
      <c r="OQF422" s="274"/>
      <c r="OQG422" s="274"/>
      <c r="OQH422" s="274"/>
      <c r="OQI422" s="274"/>
      <c r="OQJ422" s="274"/>
      <c r="OQK422" s="274"/>
      <c r="OQL422" s="274"/>
      <c r="OQM422" s="274"/>
      <c r="OQN422" s="274"/>
      <c r="OQO422" s="274"/>
      <c r="OQP422" s="274"/>
      <c r="OQQ422" s="274"/>
      <c r="OQR422" s="274"/>
      <c r="OQS422" s="274"/>
      <c r="OQT422" s="274"/>
      <c r="OQU422" s="274"/>
      <c r="OQV422" s="274"/>
      <c r="OQW422" s="274"/>
      <c r="OQX422" s="274"/>
      <c r="OQY422" s="274"/>
      <c r="OQZ422" s="274"/>
      <c r="ORA422" s="274"/>
      <c r="ORB422" s="274"/>
      <c r="ORC422" s="274"/>
      <c r="ORD422" s="274"/>
      <c r="ORE422" s="274"/>
      <c r="ORF422" s="274"/>
      <c r="ORG422" s="274"/>
      <c r="ORH422" s="274"/>
      <c r="ORI422" s="274"/>
      <c r="ORJ422" s="274"/>
      <c r="ORK422" s="274"/>
      <c r="ORL422" s="274"/>
      <c r="ORM422" s="274"/>
      <c r="ORN422" s="274"/>
      <c r="ORO422" s="274"/>
      <c r="ORP422" s="274"/>
      <c r="ORQ422" s="274"/>
      <c r="ORR422" s="274"/>
      <c r="ORS422" s="274"/>
      <c r="ORT422" s="274"/>
      <c r="ORU422" s="274"/>
      <c r="ORV422" s="274"/>
      <c r="ORW422" s="274"/>
      <c r="ORX422" s="274"/>
      <c r="ORY422" s="274"/>
      <c r="ORZ422" s="274"/>
      <c r="OSA422" s="274"/>
      <c r="OSB422" s="274"/>
      <c r="OSC422" s="274"/>
      <c r="OSD422" s="274"/>
      <c r="OSE422" s="274"/>
      <c r="OSF422" s="274"/>
      <c r="OSG422" s="274"/>
      <c r="OSH422" s="274"/>
      <c r="OSI422" s="274"/>
      <c r="OSJ422" s="274"/>
      <c r="OSK422" s="274"/>
      <c r="OSL422" s="274"/>
      <c r="OSM422" s="274"/>
      <c r="OSN422" s="274"/>
      <c r="OSO422" s="274"/>
      <c r="OSP422" s="274"/>
      <c r="OSQ422" s="274"/>
      <c r="OSR422" s="274"/>
      <c r="OSS422" s="274"/>
      <c r="OST422" s="274"/>
      <c r="OSU422" s="274"/>
      <c r="OSV422" s="274"/>
      <c r="OSW422" s="274"/>
      <c r="OSX422" s="274"/>
      <c r="OSY422" s="274"/>
      <c r="OSZ422" s="274"/>
      <c r="OTA422" s="274"/>
      <c r="OTB422" s="274"/>
      <c r="OTC422" s="274"/>
      <c r="OTD422" s="274"/>
      <c r="OTE422" s="274"/>
      <c r="OTF422" s="274"/>
      <c r="OTG422" s="274"/>
      <c r="OTH422" s="274"/>
      <c r="OTI422" s="274"/>
      <c r="OTJ422" s="274"/>
      <c r="OTK422" s="274"/>
      <c r="OTL422" s="274"/>
      <c r="OTM422" s="274"/>
      <c r="OTN422" s="274"/>
      <c r="OTO422" s="274"/>
      <c r="OTP422" s="274"/>
      <c r="OTQ422" s="274"/>
      <c r="OTR422" s="274"/>
      <c r="OTS422" s="274"/>
      <c r="OTT422" s="274"/>
      <c r="OTU422" s="274"/>
      <c r="OTV422" s="274"/>
      <c r="OTW422" s="274"/>
      <c r="OTX422" s="274"/>
      <c r="OTY422" s="274"/>
      <c r="OTZ422" s="274"/>
      <c r="OUA422" s="274"/>
      <c r="OUB422" s="274"/>
      <c r="OUC422" s="274"/>
      <c r="OUD422" s="274"/>
      <c r="OUE422" s="274"/>
      <c r="OUF422" s="274"/>
      <c r="OUG422" s="274"/>
      <c r="OUH422" s="274"/>
      <c r="OUI422" s="274"/>
      <c r="OUJ422" s="274"/>
      <c r="OUK422" s="274"/>
      <c r="OUL422" s="274"/>
      <c r="OUM422" s="274"/>
      <c r="OUN422" s="274"/>
      <c r="OUO422" s="274"/>
      <c r="OUP422" s="274"/>
      <c r="OUQ422" s="274"/>
      <c r="OUR422" s="274"/>
      <c r="OUS422" s="274"/>
      <c r="OUT422" s="274"/>
      <c r="OUU422" s="274"/>
      <c r="OUV422" s="274"/>
      <c r="OUW422" s="274"/>
      <c r="OUX422" s="274"/>
      <c r="OUY422" s="274"/>
      <c r="OUZ422" s="274"/>
      <c r="OVA422" s="274"/>
      <c r="OVB422" s="274"/>
      <c r="OVC422" s="274"/>
      <c r="OVD422" s="274"/>
      <c r="OVE422" s="274"/>
      <c r="OVF422" s="274"/>
      <c r="OVG422" s="274"/>
      <c r="OVH422" s="274"/>
      <c r="OVI422" s="274"/>
      <c r="OVJ422" s="274"/>
      <c r="OVK422" s="274"/>
      <c r="OVL422" s="274"/>
      <c r="OVM422" s="274"/>
      <c r="OVN422" s="274"/>
      <c r="OVO422" s="274"/>
      <c r="OVP422" s="274"/>
      <c r="OVQ422" s="274"/>
      <c r="OVR422" s="274"/>
      <c r="OVS422" s="274"/>
      <c r="OVT422" s="274"/>
      <c r="OVU422" s="274"/>
      <c r="OVV422" s="274"/>
      <c r="OVW422" s="274"/>
      <c r="OVX422" s="274"/>
      <c r="OVY422" s="274"/>
      <c r="OVZ422" s="274"/>
      <c r="OWA422" s="274"/>
      <c r="OWB422" s="274"/>
      <c r="OWC422" s="274"/>
      <c r="OWD422" s="274"/>
      <c r="OWE422" s="274"/>
      <c r="OWF422" s="274"/>
      <c r="OWG422" s="274"/>
      <c r="OWH422" s="274"/>
      <c r="OWI422" s="274"/>
      <c r="OWJ422" s="274"/>
      <c r="OWK422" s="274"/>
      <c r="OWL422" s="274"/>
      <c r="OWM422" s="274"/>
      <c r="OWN422" s="274"/>
      <c r="OWO422" s="274"/>
      <c r="OWP422" s="274"/>
      <c r="OWQ422" s="274"/>
      <c r="OWR422" s="274"/>
      <c r="OWS422" s="274"/>
      <c r="OWT422" s="274"/>
      <c r="OWU422" s="274"/>
      <c r="OWV422" s="274"/>
      <c r="OWW422" s="274"/>
      <c r="OWX422" s="274"/>
      <c r="OWY422" s="274"/>
      <c r="OWZ422" s="274"/>
      <c r="OXA422" s="274"/>
      <c r="OXB422" s="274"/>
      <c r="OXC422" s="274"/>
      <c r="OXD422" s="274"/>
      <c r="OXE422" s="274"/>
      <c r="OXF422" s="274"/>
      <c r="OXG422" s="274"/>
      <c r="OXH422" s="274"/>
      <c r="OXI422" s="274"/>
      <c r="OXJ422" s="274"/>
      <c r="OXK422" s="274"/>
      <c r="OXL422" s="274"/>
      <c r="OXM422" s="274"/>
      <c r="OXN422" s="274"/>
      <c r="OXO422" s="274"/>
      <c r="OXP422" s="274"/>
      <c r="OXQ422" s="274"/>
      <c r="OXR422" s="274"/>
      <c r="OXS422" s="274"/>
      <c r="OXT422" s="274"/>
      <c r="OXU422" s="274"/>
      <c r="OXV422" s="274"/>
      <c r="OXW422" s="274"/>
      <c r="OXX422" s="274"/>
      <c r="OXY422" s="274"/>
      <c r="OXZ422" s="274"/>
      <c r="OYA422" s="274"/>
      <c r="OYB422" s="274"/>
      <c r="OYC422" s="274"/>
      <c r="OYD422" s="274"/>
      <c r="OYE422" s="274"/>
      <c r="OYF422" s="274"/>
      <c r="OYG422" s="274"/>
      <c r="OYH422" s="274"/>
      <c r="OYI422" s="274"/>
      <c r="OYJ422" s="274"/>
      <c r="OYK422" s="274"/>
      <c r="OYL422" s="274"/>
      <c r="OYM422" s="274"/>
      <c r="OYN422" s="274"/>
      <c r="OYO422" s="274"/>
      <c r="OYP422" s="274"/>
      <c r="OYQ422" s="274"/>
      <c r="OYR422" s="274"/>
      <c r="OYS422" s="274"/>
      <c r="OYT422" s="274"/>
      <c r="OYU422" s="274"/>
      <c r="OYV422" s="274"/>
      <c r="OYW422" s="274"/>
      <c r="OYX422" s="274"/>
      <c r="OYY422" s="274"/>
      <c r="OYZ422" s="274"/>
      <c r="OZA422" s="274"/>
      <c r="OZB422" s="274"/>
      <c r="OZC422" s="274"/>
      <c r="OZD422" s="274"/>
      <c r="OZE422" s="274"/>
      <c r="OZF422" s="274"/>
      <c r="OZG422" s="274"/>
      <c r="OZH422" s="274"/>
      <c r="OZI422" s="274"/>
      <c r="OZJ422" s="274"/>
      <c r="OZK422" s="274"/>
      <c r="OZL422" s="274"/>
      <c r="OZM422" s="274"/>
      <c r="OZN422" s="274"/>
      <c r="OZO422" s="274"/>
      <c r="OZP422" s="274"/>
      <c r="OZQ422" s="274"/>
      <c r="OZR422" s="274"/>
      <c r="OZS422" s="274"/>
      <c r="OZT422" s="274"/>
      <c r="OZU422" s="274"/>
      <c r="OZV422" s="274"/>
      <c r="OZW422" s="274"/>
      <c r="OZX422" s="274"/>
      <c r="OZY422" s="274"/>
      <c r="OZZ422" s="274"/>
      <c r="PAA422" s="274"/>
      <c r="PAB422" s="274"/>
      <c r="PAC422" s="274"/>
      <c r="PAD422" s="274"/>
      <c r="PAE422" s="274"/>
      <c r="PAF422" s="274"/>
      <c r="PAG422" s="274"/>
      <c r="PAH422" s="274"/>
      <c r="PAI422" s="274"/>
      <c r="PAJ422" s="274"/>
      <c r="PAK422" s="274"/>
      <c r="PAL422" s="274"/>
      <c r="PAM422" s="274"/>
      <c r="PAN422" s="274"/>
      <c r="PAO422" s="274"/>
      <c r="PAP422" s="274"/>
      <c r="PAQ422" s="274"/>
      <c r="PAR422" s="274"/>
      <c r="PAS422" s="274"/>
      <c r="PAT422" s="274"/>
      <c r="PAU422" s="274"/>
      <c r="PAV422" s="274"/>
      <c r="PAW422" s="274"/>
      <c r="PAX422" s="274"/>
      <c r="PAY422" s="274"/>
      <c r="PAZ422" s="274"/>
      <c r="PBA422" s="274"/>
      <c r="PBB422" s="274"/>
      <c r="PBC422" s="274"/>
      <c r="PBD422" s="274"/>
      <c r="PBE422" s="274"/>
      <c r="PBF422" s="274"/>
      <c r="PBG422" s="274"/>
      <c r="PBH422" s="274"/>
      <c r="PBI422" s="274"/>
      <c r="PBJ422" s="274"/>
      <c r="PBK422" s="274"/>
      <c r="PBL422" s="274"/>
      <c r="PBM422" s="274"/>
      <c r="PBN422" s="274"/>
      <c r="PBO422" s="274"/>
      <c r="PBP422" s="274"/>
      <c r="PBQ422" s="274"/>
      <c r="PBR422" s="274"/>
      <c r="PBS422" s="274"/>
      <c r="PBT422" s="274"/>
      <c r="PBU422" s="274"/>
      <c r="PBV422" s="274"/>
      <c r="PBW422" s="274"/>
      <c r="PBX422" s="274"/>
      <c r="PBY422" s="274"/>
      <c r="PBZ422" s="274"/>
      <c r="PCA422" s="274"/>
      <c r="PCB422" s="274"/>
      <c r="PCC422" s="274"/>
      <c r="PCD422" s="274"/>
      <c r="PCE422" s="274"/>
      <c r="PCF422" s="274"/>
      <c r="PCG422" s="274"/>
      <c r="PCH422" s="274"/>
      <c r="PCI422" s="274"/>
      <c r="PCJ422" s="274"/>
      <c r="PCK422" s="274"/>
      <c r="PCL422" s="274"/>
      <c r="PCM422" s="274"/>
      <c r="PCN422" s="274"/>
      <c r="PCO422" s="274"/>
      <c r="PCP422" s="274"/>
      <c r="PCQ422" s="274"/>
      <c r="PCR422" s="274"/>
      <c r="PCS422" s="274"/>
      <c r="PCT422" s="274"/>
      <c r="PCU422" s="274"/>
      <c r="PCV422" s="274"/>
      <c r="PCW422" s="274"/>
      <c r="PCX422" s="274"/>
      <c r="PCY422" s="274"/>
      <c r="PCZ422" s="274"/>
      <c r="PDA422" s="274"/>
      <c r="PDB422" s="274"/>
      <c r="PDC422" s="274"/>
      <c r="PDD422" s="274"/>
      <c r="PDE422" s="274"/>
      <c r="PDF422" s="274"/>
      <c r="PDG422" s="274"/>
      <c r="PDH422" s="274"/>
      <c r="PDI422" s="274"/>
      <c r="PDJ422" s="274"/>
      <c r="PDK422" s="274"/>
      <c r="PDL422" s="274"/>
      <c r="PDM422" s="274"/>
      <c r="PDN422" s="274"/>
      <c r="PDO422" s="274"/>
      <c r="PDP422" s="274"/>
      <c r="PDQ422" s="274"/>
      <c r="PDR422" s="274"/>
      <c r="PDS422" s="274"/>
      <c r="PDT422" s="274"/>
      <c r="PDU422" s="274"/>
      <c r="PDV422" s="274"/>
      <c r="PDW422" s="274"/>
      <c r="PDX422" s="274"/>
      <c r="PDY422" s="274"/>
      <c r="PDZ422" s="274"/>
      <c r="PEA422" s="274"/>
      <c r="PEB422" s="274"/>
      <c r="PEC422" s="274"/>
      <c r="PED422" s="274"/>
      <c r="PEE422" s="274"/>
      <c r="PEF422" s="274"/>
      <c r="PEG422" s="274"/>
      <c r="PEH422" s="274"/>
      <c r="PEI422" s="274"/>
      <c r="PEJ422" s="274"/>
      <c r="PEK422" s="274"/>
      <c r="PEL422" s="274"/>
      <c r="PEM422" s="274"/>
      <c r="PEN422" s="274"/>
      <c r="PEO422" s="274"/>
      <c r="PEP422" s="274"/>
      <c r="PEQ422" s="274"/>
      <c r="PER422" s="274"/>
      <c r="PES422" s="274"/>
      <c r="PET422" s="274"/>
      <c r="PEU422" s="274"/>
      <c r="PEV422" s="274"/>
      <c r="PEW422" s="274"/>
      <c r="PEX422" s="274"/>
      <c r="PEY422" s="274"/>
      <c r="PEZ422" s="274"/>
      <c r="PFA422" s="274"/>
      <c r="PFB422" s="274"/>
      <c r="PFC422" s="274"/>
      <c r="PFD422" s="274"/>
      <c r="PFE422" s="274"/>
      <c r="PFF422" s="274"/>
      <c r="PFG422" s="274"/>
      <c r="PFH422" s="274"/>
      <c r="PFI422" s="274"/>
      <c r="PFJ422" s="274"/>
      <c r="PFK422" s="274"/>
      <c r="PFL422" s="274"/>
      <c r="PFM422" s="274"/>
      <c r="PFN422" s="274"/>
      <c r="PFO422" s="274"/>
      <c r="PFP422" s="274"/>
      <c r="PFQ422" s="274"/>
      <c r="PFR422" s="274"/>
      <c r="PFS422" s="274"/>
      <c r="PFT422" s="274"/>
      <c r="PFU422" s="274"/>
      <c r="PFV422" s="274"/>
      <c r="PFW422" s="274"/>
      <c r="PFX422" s="274"/>
      <c r="PFY422" s="274"/>
      <c r="PFZ422" s="274"/>
      <c r="PGA422" s="274"/>
      <c r="PGB422" s="274"/>
      <c r="PGC422" s="274"/>
      <c r="PGD422" s="274"/>
      <c r="PGE422" s="274"/>
      <c r="PGF422" s="274"/>
      <c r="PGG422" s="274"/>
      <c r="PGH422" s="274"/>
      <c r="PGI422" s="274"/>
      <c r="PGJ422" s="274"/>
      <c r="PGK422" s="274"/>
      <c r="PGL422" s="274"/>
      <c r="PGM422" s="274"/>
      <c r="PGN422" s="274"/>
      <c r="PGO422" s="274"/>
      <c r="PGP422" s="274"/>
      <c r="PGQ422" s="274"/>
      <c r="PGR422" s="274"/>
      <c r="PGS422" s="274"/>
      <c r="PGT422" s="274"/>
      <c r="PGU422" s="274"/>
      <c r="PGV422" s="274"/>
      <c r="PGW422" s="274"/>
      <c r="PGX422" s="274"/>
      <c r="PGY422" s="274"/>
      <c r="PGZ422" s="274"/>
      <c r="PHA422" s="274"/>
      <c r="PHB422" s="274"/>
      <c r="PHC422" s="274"/>
      <c r="PHD422" s="274"/>
      <c r="PHE422" s="274"/>
      <c r="PHF422" s="274"/>
      <c r="PHG422" s="274"/>
      <c r="PHH422" s="274"/>
      <c r="PHI422" s="274"/>
      <c r="PHJ422" s="274"/>
      <c r="PHK422" s="274"/>
      <c r="PHL422" s="274"/>
      <c r="PHM422" s="274"/>
      <c r="PHN422" s="274"/>
      <c r="PHO422" s="274"/>
      <c r="PHP422" s="274"/>
      <c r="PHQ422" s="274"/>
      <c r="PHR422" s="274"/>
      <c r="PHS422" s="274"/>
      <c r="PHT422" s="274"/>
      <c r="PHU422" s="274"/>
      <c r="PHV422" s="274"/>
      <c r="PHW422" s="274"/>
      <c r="PHX422" s="274"/>
      <c r="PHY422" s="274"/>
      <c r="PHZ422" s="274"/>
      <c r="PIA422" s="274"/>
      <c r="PIB422" s="274"/>
      <c r="PIC422" s="274"/>
      <c r="PID422" s="274"/>
      <c r="PIE422" s="274"/>
      <c r="PIF422" s="274"/>
      <c r="PIG422" s="274"/>
      <c r="PIH422" s="274"/>
      <c r="PII422" s="274"/>
      <c r="PIJ422" s="274"/>
      <c r="PIK422" s="274"/>
      <c r="PIL422" s="274"/>
      <c r="PIM422" s="274"/>
      <c r="PIN422" s="274"/>
      <c r="PIO422" s="274"/>
      <c r="PIP422" s="274"/>
      <c r="PIQ422" s="274"/>
      <c r="PIR422" s="274"/>
      <c r="PIS422" s="274"/>
      <c r="PIT422" s="274"/>
      <c r="PIU422" s="274"/>
      <c r="PIV422" s="274"/>
      <c r="PIW422" s="274"/>
      <c r="PIX422" s="274"/>
      <c r="PIY422" s="274"/>
      <c r="PIZ422" s="274"/>
      <c r="PJA422" s="274"/>
      <c r="PJB422" s="274"/>
      <c r="PJC422" s="274"/>
      <c r="PJD422" s="274"/>
      <c r="PJE422" s="274"/>
      <c r="PJF422" s="274"/>
      <c r="PJG422" s="274"/>
      <c r="PJH422" s="274"/>
      <c r="PJI422" s="274"/>
      <c r="PJJ422" s="274"/>
      <c r="PJK422" s="274"/>
      <c r="PJL422" s="274"/>
      <c r="PJM422" s="274"/>
      <c r="PJN422" s="274"/>
      <c r="PJO422" s="274"/>
      <c r="PJP422" s="274"/>
      <c r="PJQ422" s="274"/>
      <c r="PJR422" s="274"/>
      <c r="PJS422" s="274"/>
      <c r="PJT422" s="274"/>
      <c r="PJU422" s="274"/>
      <c r="PJV422" s="274"/>
      <c r="PJW422" s="274"/>
      <c r="PJX422" s="274"/>
      <c r="PJY422" s="274"/>
      <c r="PJZ422" s="274"/>
      <c r="PKA422" s="274"/>
      <c r="PKB422" s="274"/>
      <c r="PKC422" s="274"/>
      <c r="PKD422" s="274"/>
      <c r="PKE422" s="274"/>
      <c r="PKF422" s="274"/>
      <c r="PKG422" s="274"/>
      <c r="PKH422" s="274"/>
      <c r="PKI422" s="274"/>
      <c r="PKJ422" s="274"/>
      <c r="PKK422" s="274"/>
      <c r="PKL422" s="274"/>
      <c r="PKM422" s="274"/>
      <c r="PKN422" s="274"/>
      <c r="PKO422" s="274"/>
      <c r="PKP422" s="274"/>
      <c r="PKQ422" s="274"/>
      <c r="PKR422" s="274"/>
      <c r="PKS422" s="274"/>
      <c r="PKT422" s="274"/>
      <c r="PKU422" s="274"/>
      <c r="PKV422" s="274"/>
      <c r="PKW422" s="274"/>
      <c r="PKX422" s="274"/>
      <c r="PKY422" s="274"/>
      <c r="PKZ422" s="274"/>
      <c r="PLA422" s="274"/>
      <c r="PLB422" s="274"/>
      <c r="PLC422" s="274"/>
      <c r="PLD422" s="274"/>
      <c r="PLE422" s="274"/>
      <c r="PLF422" s="274"/>
      <c r="PLG422" s="274"/>
      <c r="PLH422" s="274"/>
      <c r="PLI422" s="274"/>
      <c r="PLJ422" s="274"/>
      <c r="PLK422" s="274"/>
      <c r="PLL422" s="274"/>
      <c r="PLM422" s="274"/>
      <c r="PLN422" s="274"/>
      <c r="PLO422" s="274"/>
      <c r="PLP422" s="274"/>
      <c r="PLQ422" s="274"/>
      <c r="PLR422" s="274"/>
      <c r="PLS422" s="274"/>
      <c r="PLT422" s="274"/>
      <c r="PLU422" s="274"/>
      <c r="PLV422" s="274"/>
      <c r="PLW422" s="274"/>
      <c r="PLX422" s="274"/>
      <c r="PLY422" s="274"/>
      <c r="PLZ422" s="274"/>
      <c r="PMA422" s="274"/>
      <c r="PMB422" s="274"/>
      <c r="PMC422" s="274"/>
      <c r="PMD422" s="274"/>
      <c r="PME422" s="274"/>
      <c r="PMF422" s="274"/>
      <c r="PMG422" s="274"/>
      <c r="PMH422" s="274"/>
      <c r="PMI422" s="274"/>
      <c r="PMJ422" s="274"/>
      <c r="PMK422" s="274"/>
      <c r="PML422" s="274"/>
      <c r="PMM422" s="274"/>
      <c r="PMN422" s="274"/>
      <c r="PMO422" s="274"/>
      <c r="PMP422" s="274"/>
      <c r="PMQ422" s="274"/>
      <c r="PMR422" s="274"/>
      <c r="PMS422" s="274"/>
      <c r="PMT422" s="274"/>
      <c r="PMU422" s="274"/>
      <c r="PMV422" s="274"/>
      <c r="PMW422" s="274"/>
      <c r="PMX422" s="274"/>
      <c r="PMY422" s="274"/>
      <c r="PMZ422" s="274"/>
      <c r="PNA422" s="274"/>
      <c r="PNB422" s="274"/>
      <c r="PNC422" s="274"/>
      <c r="PND422" s="274"/>
      <c r="PNE422" s="274"/>
      <c r="PNF422" s="274"/>
      <c r="PNG422" s="274"/>
      <c r="PNH422" s="274"/>
      <c r="PNI422" s="274"/>
      <c r="PNJ422" s="274"/>
      <c r="PNK422" s="274"/>
      <c r="PNL422" s="274"/>
      <c r="PNM422" s="274"/>
      <c r="PNN422" s="274"/>
      <c r="PNO422" s="274"/>
      <c r="PNP422" s="274"/>
      <c r="PNQ422" s="274"/>
      <c r="PNR422" s="274"/>
      <c r="PNS422" s="274"/>
      <c r="PNT422" s="274"/>
      <c r="PNU422" s="274"/>
      <c r="PNV422" s="274"/>
      <c r="PNW422" s="274"/>
      <c r="PNX422" s="274"/>
      <c r="PNY422" s="274"/>
      <c r="PNZ422" s="274"/>
      <c r="POA422" s="274"/>
      <c r="POB422" s="274"/>
      <c r="POC422" s="274"/>
      <c r="POD422" s="274"/>
      <c r="POE422" s="274"/>
      <c r="POF422" s="274"/>
      <c r="POG422" s="274"/>
      <c r="POH422" s="274"/>
      <c r="POI422" s="274"/>
      <c r="POJ422" s="274"/>
      <c r="POK422" s="274"/>
      <c r="POL422" s="274"/>
      <c r="POM422" s="274"/>
      <c r="PON422" s="274"/>
      <c r="POO422" s="274"/>
      <c r="POP422" s="274"/>
      <c r="POQ422" s="274"/>
      <c r="POR422" s="274"/>
      <c r="POS422" s="274"/>
      <c r="POT422" s="274"/>
      <c r="POU422" s="274"/>
      <c r="POV422" s="274"/>
      <c r="POW422" s="274"/>
      <c r="POX422" s="274"/>
      <c r="POY422" s="274"/>
      <c r="POZ422" s="274"/>
      <c r="PPA422" s="274"/>
      <c r="PPB422" s="274"/>
      <c r="PPC422" s="274"/>
      <c r="PPD422" s="274"/>
      <c r="PPE422" s="274"/>
      <c r="PPF422" s="274"/>
      <c r="PPG422" s="274"/>
      <c r="PPH422" s="274"/>
      <c r="PPI422" s="274"/>
      <c r="PPJ422" s="274"/>
      <c r="PPK422" s="274"/>
      <c r="PPL422" s="274"/>
      <c r="PPM422" s="274"/>
      <c r="PPN422" s="274"/>
      <c r="PPO422" s="274"/>
      <c r="PPP422" s="274"/>
      <c r="PPQ422" s="274"/>
      <c r="PPR422" s="274"/>
      <c r="PPS422" s="274"/>
      <c r="PPT422" s="274"/>
      <c r="PPU422" s="274"/>
      <c r="PPV422" s="274"/>
      <c r="PPW422" s="274"/>
      <c r="PPX422" s="274"/>
      <c r="PPY422" s="274"/>
      <c r="PPZ422" s="274"/>
      <c r="PQA422" s="274"/>
      <c r="PQB422" s="274"/>
      <c r="PQC422" s="274"/>
      <c r="PQD422" s="274"/>
      <c r="PQE422" s="274"/>
      <c r="PQF422" s="274"/>
      <c r="PQG422" s="274"/>
      <c r="PQH422" s="274"/>
      <c r="PQI422" s="274"/>
      <c r="PQJ422" s="274"/>
      <c r="PQK422" s="274"/>
      <c r="PQL422" s="274"/>
      <c r="PQM422" s="274"/>
      <c r="PQN422" s="274"/>
      <c r="PQO422" s="274"/>
      <c r="PQP422" s="274"/>
      <c r="PQQ422" s="274"/>
      <c r="PQR422" s="274"/>
      <c r="PQS422" s="274"/>
      <c r="PQT422" s="274"/>
      <c r="PQU422" s="274"/>
      <c r="PQV422" s="274"/>
      <c r="PQW422" s="274"/>
      <c r="PQX422" s="274"/>
      <c r="PQY422" s="274"/>
      <c r="PQZ422" s="274"/>
      <c r="PRA422" s="274"/>
      <c r="PRB422" s="274"/>
      <c r="PRC422" s="274"/>
      <c r="PRD422" s="274"/>
      <c r="PRE422" s="274"/>
      <c r="PRF422" s="274"/>
      <c r="PRG422" s="274"/>
      <c r="PRH422" s="274"/>
      <c r="PRI422" s="274"/>
      <c r="PRJ422" s="274"/>
      <c r="PRK422" s="274"/>
      <c r="PRL422" s="274"/>
      <c r="PRM422" s="274"/>
      <c r="PRN422" s="274"/>
      <c r="PRO422" s="274"/>
      <c r="PRP422" s="274"/>
      <c r="PRQ422" s="274"/>
      <c r="PRR422" s="274"/>
      <c r="PRS422" s="274"/>
      <c r="PRT422" s="274"/>
      <c r="PRU422" s="274"/>
      <c r="PRV422" s="274"/>
      <c r="PRW422" s="274"/>
      <c r="PRX422" s="274"/>
      <c r="PRY422" s="274"/>
      <c r="PRZ422" s="274"/>
      <c r="PSA422" s="274"/>
      <c r="PSB422" s="274"/>
      <c r="PSC422" s="274"/>
      <c r="PSD422" s="274"/>
      <c r="PSE422" s="274"/>
      <c r="PSF422" s="274"/>
      <c r="PSG422" s="274"/>
      <c r="PSH422" s="274"/>
      <c r="PSI422" s="274"/>
      <c r="PSJ422" s="274"/>
      <c r="PSK422" s="274"/>
      <c r="PSL422" s="274"/>
      <c r="PSM422" s="274"/>
      <c r="PSN422" s="274"/>
      <c r="PSO422" s="274"/>
      <c r="PSP422" s="274"/>
      <c r="PSQ422" s="274"/>
      <c r="PSR422" s="274"/>
      <c r="PSS422" s="274"/>
      <c r="PST422" s="274"/>
      <c r="PSU422" s="274"/>
      <c r="PSV422" s="274"/>
      <c r="PSW422" s="274"/>
      <c r="PSX422" s="274"/>
      <c r="PSY422" s="274"/>
      <c r="PSZ422" s="274"/>
      <c r="PTA422" s="274"/>
      <c r="PTB422" s="274"/>
      <c r="PTC422" s="274"/>
      <c r="PTD422" s="274"/>
      <c r="PTE422" s="274"/>
      <c r="PTF422" s="274"/>
      <c r="PTG422" s="274"/>
      <c r="PTH422" s="274"/>
      <c r="PTI422" s="274"/>
      <c r="PTJ422" s="274"/>
      <c r="PTK422" s="274"/>
      <c r="PTL422" s="274"/>
      <c r="PTM422" s="274"/>
      <c r="PTN422" s="274"/>
      <c r="PTO422" s="274"/>
      <c r="PTP422" s="274"/>
      <c r="PTQ422" s="274"/>
      <c r="PTR422" s="274"/>
      <c r="PTS422" s="274"/>
      <c r="PTT422" s="274"/>
      <c r="PTU422" s="274"/>
      <c r="PTV422" s="274"/>
      <c r="PTW422" s="274"/>
      <c r="PTX422" s="274"/>
      <c r="PTY422" s="274"/>
      <c r="PTZ422" s="274"/>
      <c r="PUA422" s="274"/>
      <c r="PUB422" s="274"/>
      <c r="PUC422" s="274"/>
      <c r="PUD422" s="274"/>
      <c r="PUE422" s="274"/>
      <c r="PUF422" s="274"/>
      <c r="PUG422" s="274"/>
      <c r="PUH422" s="274"/>
      <c r="PUI422" s="274"/>
      <c r="PUJ422" s="274"/>
      <c r="PUK422" s="274"/>
      <c r="PUL422" s="274"/>
      <c r="PUM422" s="274"/>
      <c r="PUN422" s="274"/>
      <c r="PUO422" s="274"/>
      <c r="PUP422" s="274"/>
      <c r="PUQ422" s="274"/>
      <c r="PUR422" s="274"/>
      <c r="PUS422" s="274"/>
      <c r="PUT422" s="274"/>
      <c r="PUU422" s="274"/>
      <c r="PUV422" s="274"/>
      <c r="PUW422" s="274"/>
      <c r="PUX422" s="274"/>
      <c r="PUY422" s="274"/>
      <c r="PUZ422" s="274"/>
      <c r="PVA422" s="274"/>
      <c r="PVB422" s="274"/>
      <c r="PVC422" s="274"/>
      <c r="PVD422" s="274"/>
      <c r="PVE422" s="274"/>
      <c r="PVF422" s="274"/>
      <c r="PVG422" s="274"/>
      <c r="PVH422" s="274"/>
      <c r="PVI422" s="274"/>
      <c r="PVJ422" s="274"/>
      <c r="PVK422" s="274"/>
      <c r="PVL422" s="274"/>
      <c r="PVM422" s="274"/>
      <c r="PVN422" s="274"/>
      <c r="PVO422" s="274"/>
      <c r="PVP422" s="274"/>
      <c r="PVQ422" s="274"/>
      <c r="PVR422" s="274"/>
      <c r="PVS422" s="274"/>
      <c r="PVT422" s="274"/>
      <c r="PVU422" s="274"/>
      <c r="PVV422" s="274"/>
      <c r="PVW422" s="274"/>
      <c r="PVX422" s="274"/>
      <c r="PVY422" s="274"/>
      <c r="PVZ422" s="274"/>
      <c r="PWA422" s="274"/>
      <c r="PWB422" s="274"/>
      <c r="PWC422" s="274"/>
      <c r="PWD422" s="274"/>
      <c r="PWE422" s="274"/>
      <c r="PWF422" s="274"/>
      <c r="PWG422" s="274"/>
      <c r="PWH422" s="274"/>
      <c r="PWI422" s="274"/>
      <c r="PWJ422" s="274"/>
      <c r="PWK422" s="274"/>
      <c r="PWL422" s="274"/>
      <c r="PWM422" s="274"/>
      <c r="PWN422" s="274"/>
      <c r="PWO422" s="274"/>
      <c r="PWP422" s="274"/>
      <c r="PWQ422" s="274"/>
      <c r="PWR422" s="274"/>
      <c r="PWS422" s="274"/>
      <c r="PWT422" s="274"/>
      <c r="PWU422" s="274"/>
      <c r="PWV422" s="274"/>
      <c r="PWW422" s="274"/>
      <c r="PWX422" s="274"/>
      <c r="PWY422" s="274"/>
      <c r="PWZ422" s="274"/>
      <c r="PXA422" s="274"/>
      <c r="PXB422" s="274"/>
      <c r="PXC422" s="274"/>
      <c r="PXD422" s="274"/>
      <c r="PXE422" s="274"/>
      <c r="PXF422" s="274"/>
      <c r="PXG422" s="274"/>
      <c r="PXH422" s="274"/>
      <c r="PXI422" s="274"/>
      <c r="PXJ422" s="274"/>
      <c r="PXK422" s="274"/>
      <c r="PXL422" s="274"/>
      <c r="PXM422" s="274"/>
      <c r="PXN422" s="274"/>
      <c r="PXO422" s="274"/>
      <c r="PXP422" s="274"/>
      <c r="PXQ422" s="274"/>
      <c r="PXR422" s="274"/>
      <c r="PXS422" s="274"/>
      <c r="PXT422" s="274"/>
      <c r="PXU422" s="274"/>
      <c r="PXV422" s="274"/>
      <c r="PXW422" s="274"/>
      <c r="PXX422" s="274"/>
      <c r="PXY422" s="274"/>
      <c r="PXZ422" s="274"/>
      <c r="PYA422" s="274"/>
      <c r="PYB422" s="274"/>
      <c r="PYC422" s="274"/>
      <c r="PYD422" s="274"/>
      <c r="PYE422" s="274"/>
      <c r="PYF422" s="274"/>
      <c r="PYG422" s="274"/>
      <c r="PYH422" s="274"/>
      <c r="PYI422" s="274"/>
      <c r="PYJ422" s="274"/>
      <c r="PYK422" s="274"/>
      <c r="PYL422" s="274"/>
      <c r="PYM422" s="274"/>
      <c r="PYN422" s="274"/>
      <c r="PYO422" s="274"/>
      <c r="PYP422" s="274"/>
      <c r="PYQ422" s="274"/>
      <c r="PYR422" s="274"/>
      <c r="PYS422" s="274"/>
      <c r="PYT422" s="274"/>
      <c r="PYU422" s="274"/>
      <c r="PYV422" s="274"/>
      <c r="PYW422" s="274"/>
      <c r="PYX422" s="274"/>
      <c r="PYY422" s="274"/>
      <c r="PYZ422" s="274"/>
      <c r="PZA422" s="274"/>
      <c r="PZB422" s="274"/>
      <c r="PZC422" s="274"/>
      <c r="PZD422" s="274"/>
      <c r="PZE422" s="274"/>
      <c r="PZF422" s="274"/>
      <c r="PZG422" s="274"/>
      <c r="PZH422" s="274"/>
      <c r="PZI422" s="274"/>
      <c r="PZJ422" s="274"/>
      <c r="PZK422" s="274"/>
      <c r="PZL422" s="274"/>
      <c r="PZM422" s="274"/>
      <c r="PZN422" s="274"/>
      <c r="PZO422" s="274"/>
      <c r="PZP422" s="274"/>
      <c r="PZQ422" s="274"/>
      <c r="PZR422" s="274"/>
      <c r="PZS422" s="274"/>
      <c r="PZT422" s="274"/>
      <c r="PZU422" s="274"/>
      <c r="PZV422" s="274"/>
      <c r="PZW422" s="274"/>
      <c r="PZX422" s="274"/>
      <c r="PZY422" s="274"/>
      <c r="PZZ422" s="274"/>
      <c r="QAA422" s="274"/>
      <c r="QAB422" s="274"/>
      <c r="QAC422" s="274"/>
      <c r="QAD422" s="274"/>
      <c r="QAE422" s="274"/>
      <c r="QAF422" s="274"/>
      <c r="QAG422" s="274"/>
      <c r="QAH422" s="274"/>
      <c r="QAI422" s="274"/>
      <c r="QAJ422" s="274"/>
      <c r="QAK422" s="274"/>
      <c r="QAL422" s="274"/>
      <c r="QAM422" s="274"/>
      <c r="QAN422" s="274"/>
      <c r="QAO422" s="274"/>
      <c r="QAP422" s="274"/>
      <c r="QAQ422" s="274"/>
      <c r="QAR422" s="274"/>
      <c r="QAS422" s="274"/>
      <c r="QAT422" s="274"/>
      <c r="QAU422" s="274"/>
      <c r="QAV422" s="274"/>
      <c r="QAW422" s="274"/>
      <c r="QAX422" s="274"/>
      <c r="QAY422" s="274"/>
      <c r="QAZ422" s="274"/>
      <c r="QBA422" s="274"/>
      <c r="QBB422" s="274"/>
      <c r="QBC422" s="274"/>
      <c r="QBD422" s="274"/>
      <c r="QBE422" s="274"/>
      <c r="QBF422" s="274"/>
      <c r="QBG422" s="274"/>
      <c r="QBH422" s="274"/>
      <c r="QBI422" s="274"/>
      <c r="QBJ422" s="274"/>
      <c r="QBK422" s="274"/>
      <c r="QBL422" s="274"/>
      <c r="QBM422" s="274"/>
      <c r="QBN422" s="274"/>
      <c r="QBO422" s="274"/>
      <c r="QBP422" s="274"/>
      <c r="QBQ422" s="274"/>
      <c r="QBR422" s="274"/>
      <c r="QBS422" s="274"/>
      <c r="QBT422" s="274"/>
      <c r="QBU422" s="274"/>
      <c r="QBV422" s="274"/>
      <c r="QBW422" s="274"/>
      <c r="QBX422" s="274"/>
      <c r="QBY422" s="274"/>
      <c r="QBZ422" s="274"/>
      <c r="QCA422" s="274"/>
      <c r="QCB422" s="274"/>
      <c r="QCC422" s="274"/>
      <c r="QCD422" s="274"/>
      <c r="QCE422" s="274"/>
      <c r="QCF422" s="274"/>
      <c r="QCG422" s="274"/>
      <c r="QCH422" s="274"/>
      <c r="QCI422" s="274"/>
      <c r="QCJ422" s="274"/>
      <c r="QCK422" s="274"/>
      <c r="QCL422" s="274"/>
      <c r="QCM422" s="274"/>
      <c r="QCN422" s="274"/>
      <c r="QCO422" s="274"/>
      <c r="QCP422" s="274"/>
      <c r="QCQ422" s="274"/>
      <c r="QCR422" s="274"/>
      <c r="QCS422" s="274"/>
      <c r="QCT422" s="274"/>
      <c r="QCU422" s="274"/>
      <c r="QCV422" s="274"/>
      <c r="QCW422" s="274"/>
      <c r="QCX422" s="274"/>
      <c r="QCY422" s="274"/>
      <c r="QCZ422" s="274"/>
      <c r="QDA422" s="274"/>
      <c r="QDB422" s="274"/>
      <c r="QDC422" s="274"/>
      <c r="QDD422" s="274"/>
      <c r="QDE422" s="274"/>
      <c r="QDF422" s="274"/>
      <c r="QDG422" s="274"/>
      <c r="QDH422" s="274"/>
      <c r="QDI422" s="274"/>
      <c r="QDJ422" s="274"/>
      <c r="QDK422" s="274"/>
      <c r="QDL422" s="274"/>
      <c r="QDM422" s="274"/>
      <c r="QDN422" s="274"/>
      <c r="QDO422" s="274"/>
      <c r="QDP422" s="274"/>
      <c r="QDQ422" s="274"/>
      <c r="QDR422" s="274"/>
      <c r="QDS422" s="274"/>
      <c r="QDT422" s="274"/>
      <c r="QDU422" s="274"/>
      <c r="QDV422" s="274"/>
      <c r="QDW422" s="274"/>
      <c r="QDX422" s="274"/>
      <c r="QDY422" s="274"/>
      <c r="QDZ422" s="274"/>
      <c r="QEA422" s="274"/>
      <c r="QEB422" s="274"/>
      <c r="QEC422" s="274"/>
      <c r="QED422" s="274"/>
      <c r="QEE422" s="274"/>
      <c r="QEF422" s="274"/>
      <c r="QEG422" s="274"/>
      <c r="QEH422" s="274"/>
      <c r="QEI422" s="274"/>
      <c r="QEJ422" s="274"/>
      <c r="QEK422" s="274"/>
      <c r="QEL422" s="274"/>
      <c r="QEM422" s="274"/>
      <c r="QEN422" s="274"/>
      <c r="QEO422" s="274"/>
      <c r="QEP422" s="274"/>
      <c r="QEQ422" s="274"/>
      <c r="QER422" s="274"/>
      <c r="QES422" s="274"/>
      <c r="QET422" s="274"/>
      <c r="QEU422" s="274"/>
      <c r="QEV422" s="274"/>
      <c r="QEW422" s="274"/>
      <c r="QEX422" s="274"/>
      <c r="QEY422" s="274"/>
      <c r="QEZ422" s="274"/>
      <c r="QFA422" s="274"/>
      <c r="QFB422" s="274"/>
      <c r="QFC422" s="274"/>
      <c r="QFD422" s="274"/>
      <c r="QFE422" s="274"/>
      <c r="QFF422" s="274"/>
      <c r="QFG422" s="274"/>
      <c r="QFH422" s="274"/>
      <c r="QFI422" s="274"/>
      <c r="QFJ422" s="274"/>
      <c r="QFK422" s="274"/>
      <c r="QFL422" s="274"/>
      <c r="QFM422" s="274"/>
      <c r="QFN422" s="274"/>
      <c r="QFO422" s="274"/>
      <c r="QFP422" s="274"/>
      <c r="QFQ422" s="274"/>
      <c r="QFR422" s="274"/>
      <c r="QFS422" s="274"/>
      <c r="QFT422" s="274"/>
      <c r="QFU422" s="274"/>
      <c r="QFV422" s="274"/>
      <c r="QFW422" s="274"/>
      <c r="QFX422" s="274"/>
      <c r="QFY422" s="274"/>
      <c r="QFZ422" s="274"/>
      <c r="QGA422" s="274"/>
      <c r="QGB422" s="274"/>
      <c r="QGC422" s="274"/>
      <c r="QGD422" s="274"/>
      <c r="QGE422" s="274"/>
      <c r="QGF422" s="274"/>
      <c r="QGG422" s="274"/>
      <c r="QGH422" s="274"/>
      <c r="QGI422" s="274"/>
      <c r="QGJ422" s="274"/>
      <c r="QGK422" s="274"/>
      <c r="QGL422" s="274"/>
      <c r="QGM422" s="274"/>
      <c r="QGN422" s="274"/>
      <c r="QGO422" s="274"/>
      <c r="QGP422" s="274"/>
      <c r="QGQ422" s="274"/>
      <c r="QGR422" s="274"/>
      <c r="QGS422" s="274"/>
      <c r="QGT422" s="274"/>
      <c r="QGU422" s="274"/>
      <c r="QGV422" s="274"/>
      <c r="QGW422" s="274"/>
      <c r="QGX422" s="274"/>
      <c r="QGY422" s="274"/>
      <c r="QGZ422" s="274"/>
      <c r="QHA422" s="274"/>
      <c r="QHB422" s="274"/>
      <c r="QHC422" s="274"/>
      <c r="QHD422" s="274"/>
      <c r="QHE422" s="274"/>
      <c r="QHF422" s="274"/>
      <c r="QHG422" s="274"/>
      <c r="QHH422" s="274"/>
      <c r="QHI422" s="274"/>
      <c r="QHJ422" s="274"/>
      <c r="QHK422" s="274"/>
      <c r="QHL422" s="274"/>
      <c r="QHM422" s="274"/>
      <c r="QHN422" s="274"/>
      <c r="QHO422" s="274"/>
      <c r="QHP422" s="274"/>
      <c r="QHQ422" s="274"/>
      <c r="QHR422" s="274"/>
      <c r="QHS422" s="274"/>
      <c r="QHT422" s="274"/>
      <c r="QHU422" s="274"/>
      <c r="QHV422" s="274"/>
      <c r="QHW422" s="274"/>
      <c r="QHX422" s="274"/>
      <c r="QHY422" s="274"/>
      <c r="QHZ422" s="274"/>
      <c r="QIA422" s="274"/>
      <c r="QIB422" s="274"/>
      <c r="QIC422" s="274"/>
      <c r="QID422" s="274"/>
      <c r="QIE422" s="274"/>
      <c r="QIF422" s="274"/>
      <c r="QIG422" s="274"/>
      <c r="QIH422" s="274"/>
      <c r="QII422" s="274"/>
      <c r="QIJ422" s="274"/>
      <c r="QIK422" s="274"/>
      <c r="QIL422" s="274"/>
      <c r="QIM422" s="274"/>
      <c r="QIN422" s="274"/>
      <c r="QIO422" s="274"/>
      <c r="QIP422" s="274"/>
      <c r="QIQ422" s="274"/>
      <c r="QIR422" s="274"/>
      <c r="QIS422" s="274"/>
      <c r="QIT422" s="274"/>
      <c r="QIU422" s="274"/>
      <c r="QIV422" s="274"/>
      <c r="QIW422" s="274"/>
      <c r="QIX422" s="274"/>
      <c r="QIY422" s="274"/>
      <c r="QIZ422" s="274"/>
      <c r="QJA422" s="274"/>
      <c r="QJB422" s="274"/>
      <c r="QJC422" s="274"/>
      <c r="QJD422" s="274"/>
      <c r="QJE422" s="274"/>
      <c r="QJF422" s="274"/>
      <c r="QJG422" s="274"/>
      <c r="QJH422" s="274"/>
      <c r="QJI422" s="274"/>
      <c r="QJJ422" s="274"/>
      <c r="QJK422" s="274"/>
      <c r="QJL422" s="274"/>
      <c r="QJM422" s="274"/>
      <c r="QJN422" s="274"/>
      <c r="QJO422" s="274"/>
      <c r="QJP422" s="274"/>
      <c r="QJQ422" s="274"/>
      <c r="QJR422" s="274"/>
      <c r="QJS422" s="274"/>
      <c r="QJT422" s="274"/>
      <c r="QJU422" s="274"/>
      <c r="QJV422" s="274"/>
      <c r="QJW422" s="274"/>
      <c r="QJX422" s="274"/>
      <c r="QJY422" s="274"/>
      <c r="QJZ422" s="274"/>
      <c r="QKA422" s="274"/>
      <c r="QKB422" s="274"/>
      <c r="QKC422" s="274"/>
      <c r="QKD422" s="274"/>
      <c r="QKE422" s="274"/>
      <c r="QKF422" s="274"/>
      <c r="QKG422" s="274"/>
      <c r="QKH422" s="274"/>
      <c r="QKI422" s="274"/>
      <c r="QKJ422" s="274"/>
      <c r="QKK422" s="274"/>
      <c r="QKL422" s="274"/>
      <c r="QKM422" s="274"/>
      <c r="QKN422" s="274"/>
      <c r="QKO422" s="274"/>
      <c r="QKP422" s="274"/>
      <c r="QKQ422" s="274"/>
      <c r="QKR422" s="274"/>
      <c r="QKS422" s="274"/>
      <c r="QKT422" s="274"/>
      <c r="QKU422" s="274"/>
      <c r="QKV422" s="274"/>
      <c r="QKW422" s="274"/>
      <c r="QKX422" s="274"/>
      <c r="QKY422" s="274"/>
      <c r="QKZ422" s="274"/>
      <c r="QLA422" s="274"/>
      <c r="QLB422" s="274"/>
      <c r="QLC422" s="274"/>
      <c r="QLD422" s="274"/>
      <c r="QLE422" s="274"/>
      <c r="QLF422" s="274"/>
      <c r="QLG422" s="274"/>
      <c r="QLH422" s="274"/>
      <c r="QLI422" s="274"/>
      <c r="QLJ422" s="274"/>
      <c r="QLK422" s="274"/>
      <c r="QLL422" s="274"/>
      <c r="QLM422" s="274"/>
      <c r="QLN422" s="274"/>
      <c r="QLO422" s="274"/>
      <c r="QLP422" s="274"/>
      <c r="QLQ422" s="274"/>
      <c r="QLR422" s="274"/>
      <c r="QLS422" s="274"/>
      <c r="QLT422" s="274"/>
      <c r="QLU422" s="274"/>
      <c r="QLV422" s="274"/>
      <c r="QLW422" s="274"/>
      <c r="QLX422" s="274"/>
      <c r="QLY422" s="274"/>
      <c r="QLZ422" s="274"/>
      <c r="QMA422" s="274"/>
      <c r="QMB422" s="274"/>
      <c r="QMC422" s="274"/>
      <c r="QMD422" s="274"/>
      <c r="QME422" s="274"/>
      <c r="QMF422" s="274"/>
      <c r="QMG422" s="274"/>
      <c r="QMH422" s="274"/>
      <c r="QMI422" s="274"/>
      <c r="QMJ422" s="274"/>
      <c r="QMK422" s="274"/>
      <c r="QML422" s="274"/>
      <c r="QMM422" s="274"/>
      <c r="QMN422" s="274"/>
      <c r="QMO422" s="274"/>
      <c r="QMP422" s="274"/>
      <c r="QMQ422" s="274"/>
      <c r="QMR422" s="274"/>
      <c r="QMS422" s="274"/>
      <c r="QMT422" s="274"/>
      <c r="QMU422" s="274"/>
      <c r="QMV422" s="274"/>
      <c r="QMW422" s="274"/>
      <c r="QMX422" s="274"/>
      <c r="QMY422" s="274"/>
      <c r="QMZ422" s="274"/>
      <c r="QNA422" s="274"/>
      <c r="QNB422" s="274"/>
      <c r="QNC422" s="274"/>
      <c r="QND422" s="274"/>
      <c r="QNE422" s="274"/>
      <c r="QNF422" s="274"/>
      <c r="QNG422" s="274"/>
      <c r="QNH422" s="274"/>
      <c r="QNI422" s="274"/>
      <c r="QNJ422" s="274"/>
      <c r="QNK422" s="274"/>
      <c r="QNL422" s="274"/>
      <c r="QNM422" s="274"/>
      <c r="QNN422" s="274"/>
      <c r="QNO422" s="274"/>
      <c r="QNP422" s="274"/>
      <c r="QNQ422" s="274"/>
      <c r="QNR422" s="274"/>
      <c r="QNS422" s="274"/>
      <c r="QNT422" s="274"/>
      <c r="QNU422" s="274"/>
      <c r="QNV422" s="274"/>
      <c r="QNW422" s="274"/>
      <c r="QNX422" s="274"/>
      <c r="QNY422" s="274"/>
      <c r="QNZ422" s="274"/>
      <c r="QOA422" s="274"/>
      <c r="QOB422" s="274"/>
      <c r="QOC422" s="274"/>
      <c r="QOD422" s="274"/>
      <c r="QOE422" s="274"/>
      <c r="QOF422" s="274"/>
      <c r="QOG422" s="274"/>
      <c r="QOH422" s="274"/>
      <c r="QOI422" s="274"/>
      <c r="QOJ422" s="274"/>
      <c r="QOK422" s="274"/>
      <c r="QOL422" s="274"/>
      <c r="QOM422" s="274"/>
      <c r="QON422" s="274"/>
      <c r="QOO422" s="274"/>
      <c r="QOP422" s="274"/>
      <c r="QOQ422" s="274"/>
      <c r="QOR422" s="274"/>
      <c r="QOS422" s="274"/>
      <c r="QOT422" s="274"/>
      <c r="QOU422" s="274"/>
      <c r="QOV422" s="274"/>
      <c r="QOW422" s="274"/>
      <c r="QOX422" s="274"/>
      <c r="QOY422" s="274"/>
      <c r="QOZ422" s="274"/>
      <c r="QPA422" s="274"/>
      <c r="QPB422" s="274"/>
      <c r="QPC422" s="274"/>
      <c r="QPD422" s="274"/>
      <c r="QPE422" s="274"/>
      <c r="QPF422" s="274"/>
      <c r="QPG422" s="274"/>
      <c r="QPH422" s="274"/>
      <c r="QPI422" s="274"/>
      <c r="QPJ422" s="274"/>
      <c r="QPK422" s="274"/>
      <c r="QPL422" s="274"/>
      <c r="QPM422" s="274"/>
      <c r="QPN422" s="274"/>
      <c r="QPO422" s="274"/>
      <c r="QPP422" s="274"/>
      <c r="QPQ422" s="274"/>
      <c r="QPR422" s="274"/>
      <c r="QPS422" s="274"/>
      <c r="QPT422" s="274"/>
      <c r="QPU422" s="274"/>
      <c r="QPV422" s="274"/>
      <c r="QPW422" s="274"/>
      <c r="QPX422" s="274"/>
      <c r="QPY422" s="274"/>
      <c r="QPZ422" s="274"/>
      <c r="QQA422" s="274"/>
      <c r="QQB422" s="274"/>
      <c r="QQC422" s="274"/>
      <c r="QQD422" s="274"/>
      <c r="QQE422" s="274"/>
      <c r="QQF422" s="274"/>
      <c r="QQG422" s="274"/>
      <c r="QQH422" s="274"/>
      <c r="QQI422" s="274"/>
      <c r="QQJ422" s="274"/>
      <c r="QQK422" s="274"/>
      <c r="QQL422" s="274"/>
      <c r="QQM422" s="274"/>
      <c r="QQN422" s="274"/>
      <c r="QQO422" s="274"/>
      <c r="QQP422" s="274"/>
      <c r="QQQ422" s="274"/>
      <c r="QQR422" s="274"/>
      <c r="QQS422" s="274"/>
      <c r="QQT422" s="274"/>
      <c r="QQU422" s="274"/>
      <c r="QQV422" s="274"/>
      <c r="QQW422" s="274"/>
      <c r="QQX422" s="274"/>
      <c r="QQY422" s="274"/>
      <c r="QQZ422" s="274"/>
      <c r="QRA422" s="274"/>
      <c r="QRB422" s="274"/>
      <c r="QRC422" s="274"/>
      <c r="QRD422" s="274"/>
      <c r="QRE422" s="274"/>
      <c r="QRF422" s="274"/>
      <c r="QRG422" s="274"/>
      <c r="QRH422" s="274"/>
      <c r="QRI422" s="274"/>
      <c r="QRJ422" s="274"/>
      <c r="QRK422" s="274"/>
      <c r="QRL422" s="274"/>
      <c r="QRM422" s="274"/>
      <c r="QRN422" s="274"/>
      <c r="QRO422" s="274"/>
      <c r="QRP422" s="274"/>
      <c r="QRQ422" s="274"/>
      <c r="QRR422" s="274"/>
      <c r="QRS422" s="274"/>
      <c r="QRT422" s="274"/>
      <c r="QRU422" s="274"/>
      <c r="QRV422" s="274"/>
      <c r="QRW422" s="274"/>
      <c r="QRX422" s="274"/>
      <c r="QRY422" s="274"/>
      <c r="QRZ422" s="274"/>
      <c r="QSA422" s="274"/>
      <c r="QSB422" s="274"/>
      <c r="QSC422" s="274"/>
      <c r="QSD422" s="274"/>
      <c r="QSE422" s="274"/>
      <c r="QSF422" s="274"/>
      <c r="QSG422" s="274"/>
      <c r="QSH422" s="274"/>
      <c r="QSI422" s="274"/>
      <c r="QSJ422" s="274"/>
      <c r="QSK422" s="274"/>
      <c r="QSL422" s="274"/>
      <c r="QSM422" s="274"/>
      <c r="QSN422" s="274"/>
      <c r="QSO422" s="274"/>
      <c r="QSP422" s="274"/>
      <c r="QSQ422" s="274"/>
      <c r="QSR422" s="274"/>
      <c r="QSS422" s="274"/>
      <c r="QST422" s="274"/>
      <c r="QSU422" s="274"/>
      <c r="QSV422" s="274"/>
      <c r="QSW422" s="274"/>
      <c r="QSX422" s="274"/>
      <c r="QSY422" s="274"/>
      <c r="QSZ422" s="274"/>
      <c r="QTA422" s="274"/>
      <c r="QTB422" s="274"/>
      <c r="QTC422" s="274"/>
      <c r="QTD422" s="274"/>
      <c r="QTE422" s="274"/>
      <c r="QTF422" s="274"/>
      <c r="QTG422" s="274"/>
      <c r="QTH422" s="274"/>
      <c r="QTI422" s="274"/>
      <c r="QTJ422" s="274"/>
      <c r="QTK422" s="274"/>
      <c r="QTL422" s="274"/>
      <c r="QTM422" s="274"/>
      <c r="QTN422" s="274"/>
      <c r="QTO422" s="274"/>
      <c r="QTP422" s="274"/>
      <c r="QTQ422" s="274"/>
      <c r="QTR422" s="274"/>
      <c r="QTS422" s="274"/>
      <c r="QTT422" s="274"/>
      <c r="QTU422" s="274"/>
      <c r="QTV422" s="274"/>
      <c r="QTW422" s="274"/>
      <c r="QTX422" s="274"/>
      <c r="QTY422" s="274"/>
      <c r="QTZ422" s="274"/>
      <c r="QUA422" s="274"/>
      <c r="QUB422" s="274"/>
      <c r="QUC422" s="274"/>
      <c r="QUD422" s="274"/>
      <c r="QUE422" s="274"/>
      <c r="QUF422" s="274"/>
      <c r="QUG422" s="274"/>
      <c r="QUH422" s="274"/>
      <c r="QUI422" s="274"/>
      <c r="QUJ422" s="274"/>
      <c r="QUK422" s="274"/>
      <c r="QUL422" s="274"/>
      <c r="QUM422" s="274"/>
      <c r="QUN422" s="274"/>
      <c r="QUO422" s="274"/>
      <c r="QUP422" s="274"/>
      <c r="QUQ422" s="274"/>
      <c r="QUR422" s="274"/>
      <c r="QUS422" s="274"/>
      <c r="QUT422" s="274"/>
      <c r="QUU422" s="274"/>
      <c r="QUV422" s="274"/>
      <c r="QUW422" s="274"/>
      <c r="QUX422" s="274"/>
      <c r="QUY422" s="274"/>
      <c r="QUZ422" s="274"/>
      <c r="QVA422" s="274"/>
      <c r="QVB422" s="274"/>
      <c r="QVC422" s="274"/>
      <c r="QVD422" s="274"/>
      <c r="QVE422" s="274"/>
      <c r="QVF422" s="274"/>
      <c r="QVG422" s="274"/>
      <c r="QVH422" s="274"/>
      <c r="QVI422" s="274"/>
      <c r="QVJ422" s="274"/>
      <c r="QVK422" s="274"/>
      <c r="QVL422" s="274"/>
      <c r="QVM422" s="274"/>
      <c r="QVN422" s="274"/>
      <c r="QVO422" s="274"/>
      <c r="QVP422" s="274"/>
      <c r="QVQ422" s="274"/>
      <c r="QVR422" s="274"/>
      <c r="QVS422" s="274"/>
      <c r="QVT422" s="274"/>
      <c r="QVU422" s="274"/>
      <c r="QVV422" s="274"/>
      <c r="QVW422" s="274"/>
      <c r="QVX422" s="274"/>
      <c r="QVY422" s="274"/>
      <c r="QVZ422" s="274"/>
      <c r="QWA422" s="274"/>
      <c r="QWB422" s="274"/>
      <c r="QWC422" s="274"/>
      <c r="QWD422" s="274"/>
      <c r="QWE422" s="274"/>
      <c r="QWF422" s="274"/>
      <c r="QWG422" s="274"/>
      <c r="QWH422" s="274"/>
      <c r="QWI422" s="274"/>
      <c r="QWJ422" s="274"/>
      <c r="QWK422" s="274"/>
      <c r="QWL422" s="274"/>
      <c r="QWM422" s="274"/>
      <c r="QWN422" s="274"/>
      <c r="QWO422" s="274"/>
      <c r="QWP422" s="274"/>
      <c r="QWQ422" s="274"/>
      <c r="QWR422" s="274"/>
      <c r="QWS422" s="274"/>
      <c r="QWT422" s="274"/>
      <c r="QWU422" s="274"/>
      <c r="QWV422" s="274"/>
      <c r="QWW422" s="274"/>
      <c r="QWX422" s="274"/>
      <c r="QWY422" s="274"/>
      <c r="QWZ422" s="274"/>
      <c r="QXA422" s="274"/>
      <c r="QXB422" s="274"/>
      <c r="QXC422" s="274"/>
      <c r="QXD422" s="274"/>
      <c r="QXE422" s="274"/>
      <c r="QXF422" s="274"/>
      <c r="QXG422" s="274"/>
      <c r="QXH422" s="274"/>
      <c r="QXI422" s="274"/>
      <c r="QXJ422" s="274"/>
      <c r="QXK422" s="274"/>
      <c r="QXL422" s="274"/>
      <c r="QXM422" s="274"/>
      <c r="QXN422" s="274"/>
      <c r="QXO422" s="274"/>
      <c r="QXP422" s="274"/>
      <c r="QXQ422" s="274"/>
      <c r="QXR422" s="274"/>
      <c r="QXS422" s="274"/>
      <c r="QXT422" s="274"/>
      <c r="QXU422" s="274"/>
      <c r="QXV422" s="274"/>
      <c r="QXW422" s="274"/>
      <c r="QXX422" s="274"/>
      <c r="QXY422" s="274"/>
      <c r="QXZ422" s="274"/>
      <c r="QYA422" s="274"/>
      <c r="QYB422" s="274"/>
      <c r="QYC422" s="274"/>
      <c r="QYD422" s="274"/>
      <c r="QYE422" s="274"/>
      <c r="QYF422" s="274"/>
      <c r="QYG422" s="274"/>
      <c r="QYH422" s="274"/>
      <c r="QYI422" s="274"/>
      <c r="QYJ422" s="274"/>
      <c r="QYK422" s="274"/>
      <c r="QYL422" s="274"/>
      <c r="QYM422" s="274"/>
      <c r="QYN422" s="274"/>
      <c r="QYO422" s="274"/>
      <c r="QYP422" s="274"/>
      <c r="QYQ422" s="274"/>
      <c r="QYR422" s="274"/>
      <c r="QYS422" s="274"/>
      <c r="QYT422" s="274"/>
      <c r="QYU422" s="274"/>
      <c r="QYV422" s="274"/>
      <c r="QYW422" s="274"/>
      <c r="QYX422" s="274"/>
      <c r="QYY422" s="274"/>
      <c r="QYZ422" s="274"/>
      <c r="QZA422" s="274"/>
      <c r="QZB422" s="274"/>
      <c r="QZC422" s="274"/>
      <c r="QZD422" s="274"/>
      <c r="QZE422" s="274"/>
      <c r="QZF422" s="274"/>
      <c r="QZG422" s="274"/>
      <c r="QZH422" s="274"/>
      <c r="QZI422" s="274"/>
      <c r="QZJ422" s="274"/>
      <c r="QZK422" s="274"/>
      <c r="QZL422" s="274"/>
      <c r="QZM422" s="274"/>
      <c r="QZN422" s="274"/>
      <c r="QZO422" s="274"/>
      <c r="QZP422" s="274"/>
      <c r="QZQ422" s="274"/>
      <c r="QZR422" s="274"/>
      <c r="QZS422" s="274"/>
      <c r="QZT422" s="274"/>
      <c r="QZU422" s="274"/>
      <c r="QZV422" s="274"/>
      <c r="QZW422" s="274"/>
      <c r="QZX422" s="274"/>
      <c r="QZY422" s="274"/>
      <c r="QZZ422" s="274"/>
      <c r="RAA422" s="274"/>
      <c r="RAB422" s="274"/>
      <c r="RAC422" s="274"/>
      <c r="RAD422" s="274"/>
      <c r="RAE422" s="274"/>
      <c r="RAF422" s="274"/>
      <c r="RAG422" s="274"/>
      <c r="RAH422" s="274"/>
      <c r="RAI422" s="274"/>
      <c r="RAJ422" s="274"/>
      <c r="RAK422" s="274"/>
      <c r="RAL422" s="274"/>
      <c r="RAM422" s="274"/>
      <c r="RAN422" s="274"/>
      <c r="RAO422" s="274"/>
      <c r="RAP422" s="274"/>
      <c r="RAQ422" s="274"/>
      <c r="RAR422" s="274"/>
      <c r="RAS422" s="274"/>
      <c r="RAT422" s="274"/>
      <c r="RAU422" s="274"/>
      <c r="RAV422" s="274"/>
      <c r="RAW422" s="274"/>
      <c r="RAX422" s="274"/>
      <c r="RAY422" s="274"/>
      <c r="RAZ422" s="274"/>
      <c r="RBA422" s="274"/>
      <c r="RBB422" s="274"/>
      <c r="RBC422" s="274"/>
      <c r="RBD422" s="274"/>
      <c r="RBE422" s="274"/>
      <c r="RBF422" s="274"/>
      <c r="RBG422" s="274"/>
      <c r="RBH422" s="274"/>
      <c r="RBI422" s="274"/>
      <c r="RBJ422" s="274"/>
      <c r="RBK422" s="274"/>
      <c r="RBL422" s="274"/>
      <c r="RBM422" s="274"/>
      <c r="RBN422" s="274"/>
      <c r="RBO422" s="274"/>
      <c r="RBP422" s="274"/>
      <c r="RBQ422" s="274"/>
      <c r="RBR422" s="274"/>
      <c r="RBS422" s="274"/>
      <c r="RBT422" s="274"/>
      <c r="RBU422" s="274"/>
      <c r="RBV422" s="274"/>
      <c r="RBW422" s="274"/>
      <c r="RBX422" s="274"/>
      <c r="RBY422" s="274"/>
      <c r="RBZ422" s="274"/>
      <c r="RCA422" s="274"/>
      <c r="RCB422" s="274"/>
      <c r="RCC422" s="274"/>
      <c r="RCD422" s="274"/>
      <c r="RCE422" s="274"/>
      <c r="RCF422" s="274"/>
      <c r="RCG422" s="274"/>
      <c r="RCH422" s="274"/>
      <c r="RCI422" s="274"/>
      <c r="RCJ422" s="274"/>
      <c r="RCK422" s="274"/>
      <c r="RCL422" s="274"/>
      <c r="RCM422" s="274"/>
      <c r="RCN422" s="274"/>
      <c r="RCO422" s="274"/>
      <c r="RCP422" s="274"/>
      <c r="RCQ422" s="274"/>
      <c r="RCR422" s="274"/>
      <c r="RCS422" s="274"/>
      <c r="RCT422" s="274"/>
      <c r="RCU422" s="274"/>
      <c r="RCV422" s="274"/>
      <c r="RCW422" s="274"/>
      <c r="RCX422" s="274"/>
      <c r="RCY422" s="274"/>
      <c r="RCZ422" s="274"/>
      <c r="RDA422" s="274"/>
      <c r="RDB422" s="274"/>
      <c r="RDC422" s="274"/>
      <c r="RDD422" s="274"/>
      <c r="RDE422" s="274"/>
      <c r="RDF422" s="274"/>
      <c r="RDG422" s="274"/>
      <c r="RDH422" s="274"/>
      <c r="RDI422" s="274"/>
      <c r="RDJ422" s="274"/>
      <c r="RDK422" s="274"/>
      <c r="RDL422" s="274"/>
      <c r="RDM422" s="274"/>
      <c r="RDN422" s="274"/>
      <c r="RDO422" s="274"/>
      <c r="RDP422" s="274"/>
      <c r="RDQ422" s="274"/>
      <c r="RDR422" s="274"/>
      <c r="RDS422" s="274"/>
      <c r="RDT422" s="274"/>
      <c r="RDU422" s="274"/>
      <c r="RDV422" s="274"/>
      <c r="RDW422" s="274"/>
      <c r="RDX422" s="274"/>
      <c r="RDY422" s="274"/>
      <c r="RDZ422" s="274"/>
      <c r="REA422" s="274"/>
      <c r="REB422" s="274"/>
      <c r="REC422" s="274"/>
      <c r="RED422" s="274"/>
      <c r="REE422" s="274"/>
      <c r="REF422" s="274"/>
      <c r="REG422" s="274"/>
      <c r="REH422" s="274"/>
      <c r="REI422" s="274"/>
      <c r="REJ422" s="274"/>
      <c r="REK422" s="274"/>
      <c r="REL422" s="274"/>
      <c r="REM422" s="274"/>
      <c r="REN422" s="274"/>
      <c r="REO422" s="274"/>
      <c r="REP422" s="274"/>
      <c r="REQ422" s="274"/>
      <c r="RER422" s="274"/>
      <c r="RES422" s="274"/>
      <c r="RET422" s="274"/>
      <c r="REU422" s="274"/>
      <c r="REV422" s="274"/>
      <c r="REW422" s="274"/>
      <c r="REX422" s="274"/>
      <c r="REY422" s="274"/>
      <c r="REZ422" s="274"/>
      <c r="RFA422" s="274"/>
      <c r="RFB422" s="274"/>
      <c r="RFC422" s="274"/>
      <c r="RFD422" s="274"/>
      <c r="RFE422" s="274"/>
      <c r="RFF422" s="274"/>
      <c r="RFG422" s="274"/>
      <c r="RFH422" s="274"/>
      <c r="RFI422" s="274"/>
      <c r="RFJ422" s="274"/>
      <c r="RFK422" s="274"/>
      <c r="RFL422" s="274"/>
      <c r="RFM422" s="274"/>
      <c r="RFN422" s="274"/>
      <c r="RFO422" s="274"/>
      <c r="RFP422" s="274"/>
      <c r="RFQ422" s="274"/>
      <c r="RFR422" s="274"/>
      <c r="RFS422" s="274"/>
      <c r="RFT422" s="274"/>
      <c r="RFU422" s="274"/>
      <c r="RFV422" s="274"/>
      <c r="RFW422" s="274"/>
      <c r="RFX422" s="274"/>
      <c r="RFY422" s="274"/>
      <c r="RFZ422" s="274"/>
      <c r="RGA422" s="274"/>
      <c r="RGB422" s="274"/>
      <c r="RGC422" s="274"/>
      <c r="RGD422" s="274"/>
      <c r="RGE422" s="274"/>
      <c r="RGF422" s="274"/>
      <c r="RGG422" s="274"/>
      <c r="RGH422" s="274"/>
      <c r="RGI422" s="274"/>
      <c r="RGJ422" s="274"/>
      <c r="RGK422" s="274"/>
      <c r="RGL422" s="274"/>
      <c r="RGM422" s="274"/>
      <c r="RGN422" s="274"/>
      <c r="RGO422" s="274"/>
      <c r="RGP422" s="274"/>
      <c r="RGQ422" s="274"/>
      <c r="RGR422" s="274"/>
      <c r="RGS422" s="274"/>
      <c r="RGT422" s="274"/>
      <c r="RGU422" s="274"/>
      <c r="RGV422" s="274"/>
      <c r="RGW422" s="274"/>
      <c r="RGX422" s="274"/>
      <c r="RGY422" s="274"/>
      <c r="RGZ422" s="274"/>
      <c r="RHA422" s="274"/>
      <c r="RHB422" s="274"/>
      <c r="RHC422" s="274"/>
      <c r="RHD422" s="274"/>
      <c r="RHE422" s="274"/>
      <c r="RHF422" s="274"/>
      <c r="RHG422" s="274"/>
      <c r="RHH422" s="274"/>
      <c r="RHI422" s="274"/>
      <c r="RHJ422" s="274"/>
      <c r="RHK422" s="274"/>
      <c r="RHL422" s="274"/>
      <c r="RHM422" s="274"/>
      <c r="RHN422" s="274"/>
      <c r="RHO422" s="274"/>
      <c r="RHP422" s="274"/>
      <c r="RHQ422" s="274"/>
      <c r="RHR422" s="274"/>
      <c r="RHS422" s="274"/>
      <c r="RHT422" s="274"/>
      <c r="RHU422" s="274"/>
      <c r="RHV422" s="274"/>
      <c r="RHW422" s="274"/>
      <c r="RHX422" s="274"/>
      <c r="RHY422" s="274"/>
      <c r="RHZ422" s="274"/>
      <c r="RIA422" s="274"/>
      <c r="RIB422" s="274"/>
      <c r="RIC422" s="274"/>
      <c r="RID422" s="274"/>
      <c r="RIE422" s="274"/>
      <c r="RIF422" s="274"/>
      <c r="RIG422" s="274"/>
      <c r="RIH422" s="274"/>
      <c r="RII422" s="274"/>
      <c r="RIJ422" s="274"/>
      <c r="RIK422" s="274"/>
      <c r="RIL422" s="274"/>
      <c r="RIM422" s="274"/>
      <c r="RIN422" s="274"/>
      <c r="RIO422" s="274"/>
      <c r="RIP422" s="274"/>
      <c r="RIQ422" s="274"/>
      <c r="RIR422" s="274"/>
      <c r="RIS422" s="274"/>
      <c r="RIT422" s="274"/>
      <c r="RIU422" s="274"/>
      <c r="RIV422" s="274"/>
      <c r="RIW422" s="274"/>
      <c r="RIX422" s="274"/>
      <c r="RIY422" s="274"/>
      <c r="RIZ422" s="274"/>
      <c r="RJA422" s="274"/>
      <c r="RJB422" s="274"/>
      <c r="RJC422" s="274"/>
      <c r="RJD422" s="274"/>
      <c r="RJE422" s="274"/>
      <c r="RJF422" s="274"/>
      <c r="RJG422" s="274"/>
      <c r="RJH422" s="274"/>
      <c r="RJI422" s="274"/>
      <c r="RJJ422" s="274"/>
      <c r="RJK422" s="274"/>
      <c r="RJL422" s="274"/>
      <c r="RJM422" s="274"/>
      <c r="RJN422" s="274"/>
      <c r="RJO422" s="274"/>
      <c r="RJP422" s="274"/>
      <c r="RJQ422" s="274"/>
      <c r="RJR422" s="274"/>
      <c r="RJS422" s="274"/>
      <c r="RJT422" s="274"/>
      <c r="RJU422" s="274"/>
      <c r="RJV422" s="274"/>
      <c r="RJW422" s="274"/>
      <c r="RJX422" s="274"/>
      <c r="RJY422" s="274"/>
      <c r="RJZ422" s="274"/>
      <c r="RKA422" s="274"/>
      <c r="RKB422" s="274"/>
      <c r="RKC422" s="274"/>
      <c r="RKD422" s="274"/>
      <c r="RKE422" s="274"/>
      <c r="RKF422" s="274"/>
      <c r="RKG422" s="274"/>
      <c r="RKH422" s="274"/>
      <c r="RKI422" s="274"/>
      <c r="RKJ422" s="274"/>
      <c r="RKK422" s="274"/>
      <c r="RKL422" s="274"/>
      <c r="RKM422" s="274"/>
      <c r="RKN422" s="274"/>
      <c r="RKO422" s="274"/>
      <c r="RKP422" s="274"/>
      <c r="RKQ422" s="274"/>
      <c r="RKR422" s="274"/>
      <c r="RKS422" s="274"/>
      <c r="RKT422" s="274"/>
      <c r="RKU422" s="274"/>
      <c r="RKV422" s="274"/>
      <c r="RKW422" s="274"/>
      <c r="RKX422" s="274"/>
      <c r="RKY422" s="274"/>
      <c r="RKZ422" s="274"/>
      <c r="RLA422" s="274"/>
      <c r="RLB422" s="274"/>
      <c r="RLC422" s="274"/>
      <c r="RLD422" s="274"/>
      <c r="RLE422" s="274"/>
      <c r="RLF422" s="274"/>
      <c r="RLG422" s="274"/>
      <c r="RLH422" s="274"/>
      <c r="RLI422" s="274"/>
      <c r="RLJ422" s="274"/>
      <c r="RLK422" s="274"/>
      <c r="RLL422" s="274"/>
      <c r="RLM422" s="274"/>
      <c r="RLN422" s="274"/>
      <c r="RLO422" s="274"/>
      <c r="RLP422" s="274"/>
      <c r="RLQ422" s="274"/>
      <c r="RLR422" s="274"/>
      <c r="RLS422" s="274"/>
      <c r="RLT422" s="274"/>
      <c r="RLU422" s="274"/>
      <c r="RLV422" s="274"/>
      <c r="RLW422" s="274"/>
      <c r="RLX422" s="274"/>
      <c r="RLY422" s="274"/>
      <c r="RLZ422" s="274"/>
      <c r="RMA422" s="274"/>
      <c r="RMB422" s="274"/>
      <c r="RMC422" s="274"/>
      <c r="RMD422" s="274"/>
      <c r="RME422" s="274"/>
      <c r="RMF422" s="274"/>
      <c r="RMG422" s="274"/>
      <c r="RMH422" s="274"/>
      <c r="RMI422" s="274"/>
      <c r="RMJ422" s="274"/>
      <c r="RMK422" s="274"/>
      <c r="RML422" s="274"/>
      <c r="RMM422" s="274"/>
      <c r="RMN422" s="274"/>
      <c r="RMO422" s="274"/>
      <c r="RMP422" s="274"/>
      <c r="RMQ422" s="274"/>
      <c r="RMR422" s="274"/>
      <c r="RMS422" s="274"/>
      <c r="RMT422" s="274"/>
      <c r="RMU422" s="274"/>
      <c r="RMV422" s="274"/>
      <c r="RMW422" s="274"/>
      <c r="RMX422" s="274"/>
      <c r="RMY422" s="274"/>
      <c r="RMZ422" s="274"/>
      <c r="RNA422" s="274"/>
      <c r="RNB422" s="274"/>
      <c r="RNC422" s="274"/>
      <c r="RND422" s="274"/>
      <c r="RNE422" s="274"/>
      <c r="RNF422" s="274"/>
      <c r="RNG422" s="274"/>
      <c r="RNH422" s="274"/>
      <c r="RNI422" s="274"/>
      <c r="RNJ422" s="274"/>
      <c r="RNK422" s="274"/>
      <c r="RNL422" s="274"/>
      <c r="RNM422" s="274"/>
      <c r="RNN422" s="274"/>
      <c r="RNO422" s="274"/>
      <c r="RNP422" s="274"/>
      <c r="RNQ422" s="274"/>
      <c r="RNR422" s="274"/>
      <c r="RNS422" s="274"/>
      <c r="RNT422" s="274"/>
      <c r="RNU422" s="274"/>
      <c r="RNV422" s="274"/>
      <c r="RNW422" s="274"/>
      <c r="RNX422" s="274"/>
      <c r="RNY422" s="274"/>
      <c r="RNZ422" s="274"/>
      <c r="ROA422" s="274"/>
      <c r="ROB422" s="274"/>
      <c r="ROC422" s="274"/>
      <c r="ROD422" s="274"/>
      <c r="ROE422" s="274"/>
      <c r="ROF422" s="274"/>
      <c r="ROG422" s="274"/>
      <c r="ROH422" s="274"/>
      <c r="ROI422" s="274"/>
      <c r="ROJ422" s="274"/>
      <c r="ROK422" s="274"/>
      <c r="ROL422" s="274"/>
      <c r="ROM422" s="274"/>
      <c r="RON422" s="274"/>
      <c r="ROO422" s="274"/>
      <c r="ROP422" s="274"/>
      <c r="ROQ422" s="274"/>
      <c r="ROR422" s="274"/>
      <c r="ROS422" s="274"/>
      <c r="ROT422" s="274"/>
      <c r="ROU422" s="274"/>
      <c r="ROV422" s="274"/>
      <c r="ROW422" s="274"/>
      <c r="ROX422" s="274"/>
      <c r="ROY422" s="274"/>
      <c r="ROZ422" s="274"/>
      <c r="RPA422" s="274"/>
      <c r="RPB422" s="274"/>
      <c r="RPC422" s="274"/>
      <c r="RPD422" s="274"/>
      <c r="RPE422" s="274"/>
      <c r="RPF422" s="274"/>
      <c r="RPG422" s="274"/>
      <c r="RPH422" s="274"/>
      <c r="RPI422" s="274"/>
      <c r="RPJ422" s="274"/>
      <c r="RPK422" s="274"/>
      <c r="RPL422" s="274"/>
      <c r="RPM422" s="274"/>
      <c r="RPN422" s="274"/>
      <c r="RPO422" s="274"/>
      <c r="RPP422" s="274"/>
      <c r="RPQ422" s="274"/>
      <c r="RPR422" s="274"/>
      <c r="RPS422" s="274"/>
      <c r="RPT422" s="274"/>
      <c r="RPU422" s="274"/>
      <c r="RPV422" s="274"/>
      <c r="RPW422" s="274"/>
      <c r="RPX422" s="274"/>
      <c r="RPY422" s="274"/>
      <c r="RPZ422" s="274"/>
      <c r="RQA422" s="274"/>
      <c r="RQB422" s="274"/>
      <c r="RQC422" s="274"/>
      <c r="RQD422" s="274"/>
      <c r="RQE422" s="274"/>
      <c r="RQF422" s="274"/>
      <c r="RQG422" s="274"/>
      <c r="RQH422" s="274"/>
      <c r="RQI422" s="274"/>
      <c r="RQJ422" s="274"/>
      <c r="RQK422" s="274"/>
      <c r="RQL422" s="274"/>
      <c r="RQM422" s="274"/>
      <c r="RQN422" s="274"/>
      <c r="RQO422" s="274"/>
      <c r="RQP422" s="274"/>
      <c r="RQQ422" s="274"/>
      <c r="RQR422" s="274"/>
      <c r="RQS422" s="274"/>
      <c r="RQT422" s="274"/>
      <c r="RQU422" s="274"/>
      <c r="RQV422" s="274"/>
      <c r="RQW422" s="274"/>
      <c r="RQX422" s="274"/>
      <c r="RQY422" s="274"/>
      <c r="RQZ422" s="274"/>
      <c r="RRA422" s="274"/>
      <c r="RRB422" s="274"/>
      <c r="RRC422" s="274"/>
      <c r="RRD422" s="274"/>
      <c r="RRE422" s="274"/>
      <c r="RRF422" s="274"/>
      <c r="RRG422" s="274"/>
      <c r="RRH422" s="274"/>
      <c r="RRI422" s="274"/>
      <c r="RRJ422" s="274"/>
      <c r="RRK422" s="274"/>
      <c r="RRL422" s="274"/>
      <c r="RRM422" s="274"/>
      <c r="RRN422" s="274"/>
      <c r="RRO422" s="274"/>
      <c r="RRP422" s="274"/>
      <c r="RRQ422" s="274"/>
      <c r="RRR422" s="274"/>
      <c r="RRS422" s="274"/>
      <c r="RRT422" s="274"/>
      <c r="RRU422" s="274"/>
      <c r="RRV422" s="274"/>
      <c r="RRW422" s="274"/>
      <c r="RRX422" s="274"/>
      <c r="RRY422" s="274"/>
      <c r="RRZ422" s="274"/>
      <c r="RSA422" s="274"/>
      <c r="RSB422" s="274"/>
      <c r="RSC422" s="274"/>
      <c r="RSD422" s="274"/>
      <c r="RSE422" s="274"/>
      <c r="RSF422" s="274"/>
      <c r="RSG422" s="274"/>
      <c r="RSH422" s="274"/>
      <c r="RSI422" s="274"/>
      <c r="RSJ422" s="274"/>
      <c r="RSK422" s="274"/>
      <c r="RSL422" s="274"/>
      <c r="RSM422" s="274"/>
      <c r="RSN422" s="274"/>
      <c r="RSO422" s="274"/>
      <c r="RSP422" s="274"/>
      <c r="RSQ422" s="274"/>
      <c r="RSR422" s="274"/>
      <c r="RSS422" s="274"/>
      <c r="RST422" s="274"/>
      <c r="RSU422" s="274"/>
      <c r="RSV422" s="274"/>
      <c r="RSW422" s="274"/>
      <c r="RSX422" s="274"/>
      <c r="RSY422" s="274"/>
      <c r="RSZ422" s="274"/>
      <c r="RTA422" s="274"/>
      <c r="RTB422" s="274"/>
      <c r="RTC422" s="274"/>
      <c r="RTD422" s="274"/>
      <c r="RTE422" s="274"/>
      <c r="RTF422" s="274"/>
      <c r="RTG422" s="274"/>
      <c r="RTH422" s="274"/>
      <c r="RTI422" s="274"/>
      <c r="RTJ422" s="274"/>
      <c r="RTK422" s="274"/>
      <c r="RTL422" s="274"/>
      <c r="RTM422" s="274"/>
      <c r="RTN422" s="274"/>
      <c r="RTO422" s="274"/>
      <c r="RTP422" s="274"/>
      <c r="RTQ422" s="274"/>
      <c r="RTR422" s="274"/>
      <c r="RTS422" s="274"/>
      <c r="RTT422" s="274"/>
      <c r="RTU422" s="274"/>
      <c r="RTV422" s="274"/>
      <c r="RTW422" s="274"/>
      <c r="RTX422" s="274"/>
      <c r="RTY422" s="274"/>
      <c r="RTZ422" s="274"/>
      <c r="RUA422" s="274"/>
      <c r="RUB422" s="274"/>
      <c r="RUC422" s="274"/>
      <c r="RUD422" s="274"/>
      <c r="RUE422" s="274"/>
      <c r="RUF422" s="274"/>
      <c r="RUG422" s="274"/>
      <c r="RUH422" s="274"/>
      <c r="RUI422" s="274"/>
      <c r="RUJ422" s="274"/>
      <c r="RUK422" s="274"/>
      <c r="RUL422" s="274"/>
      <c r="RUM422" s="274"/>
      <c r="RUN422" s="274"/>
      <c r="RUO422" s="274"/>
      <c r="RUP422" s="274"/>
      <c r="RUQ422" s="274"/>
      <c r="RUR422" s="274"/>
      <c r="RUS422" s="274"/>
      <c r="RUT422" s="274"/>
      <c r="RUU422" s="274"/>
      <c r="RUV422" s="274"/>
      <c r="RUW422" s="274"/>
      <c r="RUX422" s="274"/>
      <c r="RUY422" s="274"/>
      <c r="RUZ422" s="274"/>
      <c r="RVA422" s="274"/>
      <c r="RVB422" s="274"/>
      <c r="RVC422" s="274"/>
      <c r="RVD422" s="274"/>
      <c r="RVE422" s="274"/>
      <c r="RVF422" s="274"/>
      <c r="RVG422" s="274"/>
      <c r="RVH422" s="274"/>
      <c r="RVI422" s="274"/>
      <c r="RVJ422" s="274"/>
      <c r="RVK422" s="274"/>
      <c r="RVL422" s="274"/>
      <c r="RVM422" s="274"/>
      <c r="RVN422" s="274"/>
      <c r="RVO422" s="274"/>
      <c r="RVP422" s="274"/>
      <c r="RVQ422" s="274"/>
      <c r="RVR422" s="274"/>
      <c r="RVS422" s="274"/>
      <c r="RVT422" s="274"/>
      <c r="RVU422" s="274"/>
      <c r="RVV422" s="274"/>
      <c r="RVW422" s="274"/>
      <c r="RVX422" s="274"/>
      <c r="RVY422" s="274"/>
      <c r="RVZ422" s="274"/>
      <c r="RWA422" s="274"/>
      <c r="RWB422" s="274"/>
      <c r="RWC422" s="274"/>
      <c r="RWD422" s="274"/>
      <c r="RWE422" s="274"/>
      <c r="RWF422" s="274"/>
      <c r="RWG422" s="274"/>
      <c r="RWH422" s="274"/>
      <c r="RWI422" s="274"/>
      <c r="RWJ422" s="274"/>
      <c r="RWK422" s="274"/>
      <c r="RWL422" s="274"/>
      <c r="RWM422" s="274"/>
      <c r="RWN422" s="274"/>
      <c r="RWO422" s="274"/>
      <c r="RWP422" s="274"/>
      <c r="RWQ422" s="274"/>
      <c r="RWR422" s="274"/>
      <c r="RWS422" s="274"/>
      <c r="RWT422" s="274"/>
      <c r="RWU422" s="274"/>
      <c r="RWV422" s="274"/>
      <c r="RWW422" s="274"/>
      <c r="RWX422" s="274"/>
      <c r="RWY422" s="274"/>
      <c r="RWZ422" s="274"/>
      <c r="RXA422" s="274"/>
      <c r="RXB422" s="274"/>
      <c r="RXC422" s="274"/>
      <c r="RXD422" s="274"/>
      <c r="RXE422" s="274"/>
      <c r="RXF422" s="274"/>
      <c r="RXG422" s="274"/>
      <c r="RXH422" s="274"/>
      <c r="RXI422" s="274"/>
      <c r="RXJ422" s="274"/>
      <c r="RXK422" s="274"/>
      <c r="RXL422" s="274"/>
      <c r="RXM422" s="274"/>
      <c r="RXN422" s="274"/>
      <c r="RXO422" s="274"/>
      <c r="RXP422" s="274"/>
      <c r="RXQ422" s="274"/>
      <c r="RXR422" s="274"/>
      <c r="RXS422" s="274"/>
      <c r="RXT422" s="274"/>
      <c r="RXU422" s="274"/>
      <c r="RXV422" s="274"/>
      <c r="RXW422" s="274"/>
      <c r="RXX422" s="274"/>
      <c r="RXY422" s="274"/>
      <c r="RXZ422" s="274"/>
      <c r="RYA422" s="274"/>
      <c r="RYB422" s="274"/>
      <c r="RYC422" s="274"/>
      <c r="RYD422" s="274"/>
      <c r="RYE422" s="274"/>
      <c r="RYF422" s="274"/>
      <c r="RYG422" s="274"/>
      <c r="RYH422" s="274"/>
      <c r="RYI422" s="274"/>
      <c r="RYJ422" s="274"/>
      <c r="RYK422" s="274"/>
      <c r="RYL422" s="274"/>
      <c r="RYM422" s="274"/>
      <c r="RYN422" s="274"/>
      <c r="RYO422" s="274"/>
      <c r="RYP422" s="274"/>
      <c r="RYQ422" s="274"/>
      <c r="RYR422" s="274"/>
      <c r="RYS422" s="274"/>
      <c r="RYT422" s="274"/>
      <c r="RYU422" s="274"/>
      <c r="RYV422" s="274"/>
      <c r="RYW422" s="274"/>
      <c r="RYX422" s="274"/>
      <c r="RYY422" s="274"/>
      <c r="RYZ422" s="274"/>
      <c r="RZA422" s="274"/>
      <c r="RZB422" s="274"/>
      <c r="RZC422" s="274"/>
      <c r="RZD422" s="274"/>
      <c r="RZE422" s="274"/>
      <c r="RZF422" s="274"/>
      <c r="RZG422" s="274"/>
      <c r="RZH422" s="274"/>
      <c r="RZI422" s="274"/>
      <c r="RZJ422" s="274"/>
      <c r="RZK422" s="274"/>
      <c r="RZL422" s="274"/>
      <c r="RZM422" s="274"/>
      <c r="RZN422" s="274"/>
      <c r="RZO422" s="274"/>
      <c r="RZP422" s="274"/>
      <c r="RZQ422" s="274"/>
      <c r="RZR422" s="274"/>
      <c r="RZS422" s="274"/>
      <c r="RZT422" s="274"/>
      <c r="RZU422" s="274"/>
      <c r="RZV422" s="274"/>
      <c r="RZW422" s="274"/>
      <c r="RZX422" s="274"/>
      <c r="RZY422" s="274"/>
      <c r="RZZ422" s="274"/>
      <c r="SAA422" s="274"/>
      <c r="SAB422" s="274"/>
      <c r="SAC422" s="274"/>
      <c r="SAD422" s="274"/>
      <c r="SAE422" s="274"/>
      <c r="SAF422" s="274"/>
      <c r="SAG422" s="274"/>
      <c r="SAH422" s="274"/>
      <c r="SAI422" s="274"/>
      <c r="SAJ422" s="274"/>
      <c r="SAK422" s="274"/>
      <c r="SAL422" s="274"/>
      <c r="SAM422" s="274"/>
      <c r="SAN422" s="274"/>
      <c r="SAO422" s="274"/>
      <c r="SAP422" s="274"/>
      <c r="SAQ422" s="274"/>
      <c r="SAR422" s="274"/>
      <c r="SAS422" s="274"/>
      <c r="SAT422" s="274"/>
      <c r="SAU422" s="274"/>
      <c r="SAV422" s="274"/>
      <c r="SAW422" s="274"/>
      <c r="SAX422" s="274"/>
      <c r="SAY422" s="274"/>
      <c r="SAZ422" s="274"/>
      <c r="SBA422" s="274"/>
      <c r="SBB422" s="274"/>
      <c r="SBC422" s="274"/>
      <c r="SBD422" s="274"/>
      <c r="SBE422" s="274"/>
      <c r="SBF422" s="274"/>
      <c r="SBG422" s="274"/>
      <c r="SBH422" s="274"/>
      <c r="SBI422" s="274"/>
      <c r="SBJ422" s="274"/>
      <c r="SBK422" s="274"/>
      <c r="SBL422" s="274"/>
      <c r="SBM422" s="274"/>
      <c r="SBN422" s="274"/>
      <c r="SBO422" s="274"/>
      <c r="SBP422" s="274"/>
      <c r="SBQ422" s="274"/>
      <c r="SBR422" s="274"/>
      <c r="SBS422" s="274"/>
      <c r="SBT422" s="274"/>
      <c r="SBU422" s="274"/>
      <c r="SBV422" s="274"/>
      <c r="SBW422" s="274"/>
      <c r="SBX422" s="274"/>
      <c r="SBY422" s="274"/>
      <c r="SBZ422" s="274"/>
      <c r="SCA422" s="274"/>
      <c r="SCB422" s="274"/>
      <c r="SCC422" s="274"/>
      <c r="SCD422" s="274"/>
      <c r="SCE422" s="274"/>
      <c r="SCF422" s="274"/>
      <c r="SCG422" s="274"/>
      <c r="SCH422" s="274"/>
      <c r="SCI422" s="274"/>
      <c r="SCJ422" s="274"/>
      <c r="SCK422" s="274"/>
      <c r="SCL422" s="274"/>
      <c r="SCM422" s="274"/>
      <c r="SCN422" s="274"/>
      <c r="SCO422" s="274"/>
      <c r="SCP422" s="274"/>
      <c r="SCQ422" s="274"/>
      <c r="SCR422" s="274"/>
      <c r="SCS422" s="274"/>
      <c r="SCT422" s="274"/>
      <c r="SCU422" s="274"/>
      <c r="SCV422" s="274"/>
      <c r="SCW422" s="274"/>
      <c r="SCX422" s="274"/>
      <c r="SCY422" s="274"/>
      <c r="SCZ422" s="274"/>
      <c r="SDA422" s="274"/>
      <c r="SDB422" s="274"/>
      <c r="SDC422" s="274"/>
      <c r="SDD422" s="274"/>
      <c r="SDE422" s="274"/>
      <c r="SDF422" s="274"/>
      <c r="SDG422" s="274"/>
      <c r="SDH422" s="274"/>
      <c r="SDI422" s="274"/>
      <c r="SDJ422" s="274"/>
      <c r="SDK422" s="274"/>
      <c r="SDL422" s="274"/>
      <c r="SDM422" s="274"/>
      <c r="SDN422" s="274"/>
      <c r="SDO422" s="274"/>
      <c r="SDP422" s="274"/>
      <c r="SDQ422" s="274"/>
      <c r="SDR422" s="274"/>
      <c r="SDS422" s="274"/>
      <c r="SDT422" s="274"/>
      <c r="SDU422" s="274"/>
      <c r="SDV422" s="274"/>
      <c r="SDW422" s="274"/>
      <c r="SDX422" s="274"/>
      <c r="SDY422" s="274"/>
      <c r="SDZ422" s="274"/>
      <c r="SEA422" s="274"/>
      <c r="SEB422" s="274"/>
      <c r="SEC422" s="274"/>
      <c r="SED422" s="274"/>
      <c r="SEE422" s="274"/>
      <c r="SEF422" s="274"/>
      <c r="SEG422" s="274"/>
      <c r="SEH422" s="274"/>
      <c r="SEI422" s="274"/>
      <c r="SEJ422" s="274"/>
      <c r="SEK422" s="274"/>
      <c r="SEL422" s="274"/>
      <c r="SEM422" s="274"/>
      <c r="SEN422" s="274"/>
      <c r="SEO422" s="274"/>
      <c r="SEP422" s="274"/>
      <c r="SEQ422" s="274"/>
      <c r="SER422" s="274"/>
      <c r="SES422" s="274"/>
      <c r="SET422" s="274"/>
      <c r="SEU422" s="274"/>
      <c r="SEV422" s="274"/>
      <c r="SEW422" s="274"/>
      <c r="SEX422" s="274"/>
      <c r="SEY422" s="274"/>
      <c r="SEZ422" s="274"/>
      <c r="SFA422" s="274"/>
      <c r="SFB422" s="274"/>
      <c r="SFC422" s="274"/>
      <c r="SFD422" s="274"/>
      <c r="SFE422" s="274"/>
      <c r="SFF422" s="274"/>
      <c r="SFG422" s="274"/>
      <c r="SFH422" s="274"/>
      <c r="SFI422" s="274"/>
      <c r="SFJ422" s="274"/>
      <c r="SFK422" s="274"/>
      <c r="SFL422" s="274"/>
      <c r="SFM422" s="274"/>
      <c r="SFN422" s="274"/>
      <c r="SFO422" s="274"/>
      <c r="SFP422" s="274"/>
      <c r="SFQ422" s="274"/>
      <c r="SFR422" s="274"/>
      <c r="SFS422" s="274"/>
      <c r="SFT422" s="274"/>
      <c r="SFU422" s="274"/>
      <c r="SFV422" s="274"/>
      <c r="SFW422" s="274"/>
      <c r="SFX422" s="274"/>
      <c r="SFY422" s="274"/>
      <c r="SFZ422" s="274"/>
      <c r="SGA422" s="274"/>
      <c r="SGB422" s="274"/>
      <c r="SGC422" s="274"/>
      <c r="SGD422" s="274"/>
      <c r="SGE422" s="274"/>
      <c r="SGF422" s="274"/>
      <c r="SGG422" s="274"/>
      <c r="SGH422" s="274"/>
      <c r="SGI422" s="274"/>
      <c r="SGJ422" s="274"/>
      <c r="SGK422" s="274"/>
      <c r="SGL422" s="274"/>
      <c r="SGM422" s="274"/>
      <c r="SGN422" s="274"/>
      <c r="SGO422" s="274"/>
      <c r="SGP422" s="274"/>
      <c r="SGQ422" s="274"/>
      <c r="SGR422" s="274"/>
      <c r="SGS422" s="274"/>
      <c r="SGT422" s="274"/>
      <c r="SGU422" s="274"/>
      <c r="SGV422" s="274"/>
      <c r="SGW422" s="274"/>
      <c r="SGX422" s="274"/>
      <c r="SGY422" s="274"/>
      <c r="SGZ422" s="274"/>
      <c r="SHA422" s="274"/>
      <c r="SHB422" s="274"/>
      <c r="SHC422" s="274"/>
      <c r="SHD422" s="274"/>
      <c r="SHE422" s="274"/>
      <c r="SHF422" s="274"/>
      <c r="SHG422" s="274"/>
      <c r="SHH422" s="274"/>
      <c r="SHI422" s="274"/>
      <c r="SHJ422" s="274"/>
      <c r="SHK422" s="274"/>
      <c r="SHL422" s="274"/>
      <c r="SHM422" s="274"/>
      <c r="SHN422" s="274"/>
      <c r="SHO422" s="274"/>
      <c r="SHP422" s="274"/>
      <c r="SHQ422" s="274"/>
      <c r="SHR422" s="274"/>
      <c r="SHS422" s="274"/>
      <c r="SHT422" s="274"/>
      <c r="SHU422" s="274"/>
      <c r="SHV422" s="274"/>
      <c r="SHW422" s="274"/>
      <c r="SHX422" s="274"/>
      <c r="SHY422" s="274"/>
      <c r="SHZ422" s="274"/>
      <c r="SIA422" s="274"/>
      <c r="SIB422" s="274"/>
      <c r="SIC422" s="274"/>
      <c r="SID422" s="274"/>
      <c r="SIE422" s="274"/>
      <c r="SIF422" s="274"/>
      <c r="SIG422" s="274"/>
      <c r="SIH422" s="274"/>
      <c r="SII422" s="274"/>
      <c r="SIJ422" s="274"/>
      <c r="SIK422" s="274"/>
      <c r="SIL422" s="274"/>
      <c r="SIM422" s="274"/>
      <c r="SIN422" s="274"/>
      <c r="SIO422" s="274"/>
      <c r="SIP422" s="274"/>
      <c r="SIQ422" s="274"/>
      <c r="SIR422" s="274"/>
      <c r="SIS422" s="274"/>
      <c r="SIT422" s="274"/>
      <c r="SIU422" s="274"/>
      <c r="SIV422" s="274"/>
      <c r="SIW422" s="274"/>
      <c r="SIX422" s="274"/>
      <c r="SIY422" s="274"/>
      <c r="SIZ422" s="274"/>
      <c r="SJA422" s="274"/>
      <c r="SJB422" s="274"/>
      <c r="SJC422" s="274"/>
      <c r="SJD422" s="274"/>
      <c r="SJE422" s="274"/>
      <c r="SJF422" s="274"/>
      <c r="SJG422" s="274"/>
      <c r="SJH422" s="274"/>
      <c r="SJI422" s="274"/>
      <c r="SJJ422" s="274"/>
      <c r="SJK422" s="274"/>
      <c r="SJL422" s="274"/>
      <c r="SJM422" s="274"/>
      <c r="SJN422" s="274"/>
      <c r="SJO422" s="274"/>
      <c r="SJP422" s="274"/>
      <c r="SJQ422" s="274"/>
      <c r="SJR422" s="274"/>
      <c r="SJS422" s="274"/>
      <c r="SJT422" s="274"/>
      <c r="SJU422" s="274"/>
      <c r="SJV422" s="274"/>
      <c r="SJW422" s="274"/>
      <c r="SJX422" s="274"/>
      <c r="SJY422" s="274"/>
      <c r="SJZ422" s="274"/>
      <c r="SKA422" s="274"/>
      <c r="SKB422" s="274"/>
      <c r="SKC422" s="274"/>
      <c r="SKD422" s="274"/>
      <c r="SKE422" s="274"/>
      <c r="SKF422" s="274"/>
      <c r="SKG422" s="274"/>
      <c r="SKH422" s="274"/>
      <c r="SKI422" s="274"/>
      <c r="SKJ422" s="274"/>
      <c r="SKK422" s="274"/>
      <c r="SKL422" s="274"/>
      <c r="SKM422" s="274"/>
      <c r="SKN422" s="274"/>
      <c r="SKO422" s="274"/>
      <c r="SKP422" s="274"/>
      <c r="SKQ422" s="274"/>
      <c r="SKR422" s="274"/>
      <c r="SKS422" s="274"/>
      <c r="SKT422" s="274"/>
      <c r="SKU422" s="274"/>
      <c r="SKV422" s="274"/>
      <c r="SKW422" s="274"/>
      <c r="SKX422" s="274"/>
      <c r="SKY422" s="274"/>
      <c r="SKZ422" s="274"/>
      <c r="SLA422" s="274"/>
      <c r="SLB422" s="274"/>
      <c r="SLC422" s="274"/>
      <c r="SLD422" s="274"/>
      <c r="SLE422" s="274"/>
      <c r="SLF422" s="274"/>
      <c r="SLG422" s="274"/>
      <c r="SLH422" s="274"/>
      <c r="SLI422" s="274"/>
      <c r="SLJ422" s="274"/>
      <c r="SLK422" s="274"/>
      <c r="SLL422" s="274"/>
      <c r="SLM422" s="274"/>
      <c r="SLN422" s="274"/>
      <c r="SLO422" s="274"/>
      <c r="SLP422" s="274"/>
      <c r="SLQ422" s="274"/>
      <c r="SLR422" s="274"/>
      <c r="SLS422" s="274"/>
      <c r="SLT422" s="274"/>
      <c r="SLU422" s="274"/>
      <c r="SLV422" s="274"/>
      <c r="SLW422" s="274"/>
      <c r="SLX422" s="274"/>
      <c r="SLY422" s="274"/>
      <c r="SLZ422" s="274"/>
      <c r="SMA422" s="274"/>
      <c r="SMB422" s="274"/>
      <c r="SMC422" s="274"/>
      <c r="SMD422" s="274"/>
      <c r="SME422" s="274"/>
      <c r="SMF422" s="274"/>
      <c r="SMG422" s="274"/>
      <c r="SMH422" s="274"/>
      <c r="SMI422" s="274"/>
      <c r="SMJ422" s="274"/>
      <c r="SMK422" s="274"/>
      <c r="SML422" s="274"/>
      <c r="SMM422" s="274"/>
      <c r="SMN422" s="274"/>
      <c r="SMO422" s="274"/>
      <c r="SMP422" s="274"/>
      <c r="SMQ422" s="274"/>
      <c r="SMR422" s="274"/>
      <c r="SMS422" s="274"/>
      <c r="SMT422" s="274"/>
      <c r="SMU422" s="274"/>
      <c r="SMV422" s="274"/>
      <c r="SMW422" s="274"/>
      <c r="SMX422" s="274"/>
      <c r="SMY422" s="274"/>
      <c r="SMZ422" s="274"/>
      <c r="SNA422" s="274"/>
      <c r="SNB422" s="274"/>
      <c r="SNC422" s="274"/>
      <c r="SND422" s="274"/>
      <c r="SNE422" s="274"/>
      <c r="SNF422" s="274"/>
      <c r="SNG422" s="274"/>
      <c r="SNH422" s="274"/>
      <c r="SNI422" s="274"/>
      <c r="SNJ422" s="274"/>
      <c r="SNK422" s="274"/>
      <c r="SNL422" s="274"/>
      <c r="SNM422" s="274"/>
      <c r="SNN422" s="274"/>
      <c r="SNO422" s="274"/>
      <c r="SNP422" s="274"/>
      <c r="SNQ422" s="274"/>
      <c r="SNR422" s="274"/>
      <c r="SNS422" s="274"/>
      <c r="SNT422" s="274"/>
      <c r="SNU422" s="274"/>
      <c r="SNV422" s="274"/>
      <c r="SNW422" s="274"/>
      <c r="SNX422" s="274"/>
      <c r="SNY422" s="274"/>
      <c r="SNZ422" s="274"/>
      <c r="SOA422" s="274"/>
      <c r="SOB422" s="274"/>
      <c r="SOC422" s="274"/>
      <c r="SOD422" s="274"/>
      <c r="SOE422" s="274"/>
      <c r="SOF422" s="274"/>
      <c r="SOG422" s="274"/>
      <c r="SOH422" s="274"/>
      <c r="SOI422" s="274"/>
      <c r="SOJ422" s="274"/>
      <c r="SOK422" s="274"/>
      <c r="SOL422" s="274"/>
      <c r="SOM422" s="274"/>
      <c r="SON422" s="274"/>
      <c r="SOO422" s="274"/>
      <c r="SOP422" s="274"/>
      <c r="SOQ422" s="274"/>
      <c r="SOR422" s="274"/>
      <c r="SOS422" s="274"/>
      <c r="SOT422" s="274"/>
      <c r="SOU422" s="274"/>
      <c r="SOV422" s="274"/>
      <c r="SOW422" s="274"/>
      <c r="SOX422" s="274"/>
      <c r="SOY422" s="274"/>
      <c r="SOZ422" s="274"/>
      <c r="SPA422" s="274"/>
      <c r="SPB422" s="274"/>
      <c r="SPC422" s="274"/>
      <c r="SPD422" s="274"/>
      <c r="SPE422" s="274"/>
      <c r="SPF422" s="274"/>
      <c r="SPG422" s="274"/>
      <c r="SPH422" s="274"/>
      <c r="SPI422" s="274"/>
      <c r="SPJ422" s="274"/>
      <c r="SPK422" s="274"/>
      <c r="SPL422" s="274"/>
      <c r="SPM422" s="274"/>
      <c r="SPN422" s="274"/>
      <c r="SPO422" s="274"/>
      <c r="SPP422" s="274"/>
      <c r="SPQ422" s="274"/>
      <c r="SPR422" s="274"/>
      <c r="SPS422" s="274"/>
      <c r="SPT422" s="274"/>
      <c r="SPU422" s="274"/>
      <c r="SPV422" s="274"/>
      <c r="SPW422" s="274"/>
      <c r="SPX422" s="274"/>
      <c r="SPY422" s="274"/>
      <c r="SPZ422" s="274"/>
      <c r="SQA422" s="274"/>
      <c r="SQB422" s="274"/>
      <c r="SQC422" s="274"/>
      <c r="SQD422" s="274"/>
      <c r="SQE422" s="274"/>
      <c r="SQF422" s="274"/>
      <c r="SQG422" s="274"/>
      <c r="SQH422" s="274"/>
      <c r="SQI422" s="274"/>
      <c r="SQJ422" s="274"/>
      <c r="SQK422" s="274"/>
      <c r="SQL422" s="274"/>
      <c r="SQM422" s="274"/>
      <c r="SQN422" s="274"/>
      <c r="SQO422" s="274"/>
      <c r="SQP422" s="274"/>
      <c r="SQQ422" s="274"/>
      <c r="SQR422" s="274"/>
      <c r="SQS422" s="274"/>
      <c r="SQT422" s="274"/>
      <c r="SQU422" s="274"/>
      <c r="SQV422" s="274"/>
      <c r="SQW422" s="274"/>
      <c r="SQX422" s="274"/>
      <c r="SQY422" s="274"/>
      <c r="SQZ422" s="274"/>
      <c r="SRA422" s="274"/>
      <c r="SRB422" s="274"/>
      <c r="SRC422" s="274"/>
      <c r="SRD422" s="274"/>
      <c r="SRE422" s="274"/>
      <c r="SRF422" s="274"/>
      <c r="SRG422" s="274"/>
      <c r="SRH422" s="274"/>
      <c r="SRI422" s="274"/>
      <c r="SRJ422" s="274"/>
      <c r="SRK422" s="274"/>
      <c r="SRL422" s="274"/>
      <c r="SRM422" s="274"/>
      <c r="SRN422" s="274"/>
      <c r="SRO422" s="274"/>
      <c r="SRP422" s="274"/>
      <c r="SRQ422" s="274"/>
      <c r="SRR422" s="274"/>
      <c r="SRS422" s="274"/>
      <c r="SRT422" s="274"/>
      <c r="SRU422" s="274"/>
      <c r="SRV422" s="274"/>
      <c r="SRW422" s="274"/>
      <c r="SRX422" s="274"/>
      <c r="SRY422" s="274"/>
      <c r="SRZ422" s="274"/>
      <c r="SSA422" s="274"/>
      <c r="SSB422" s="274"/>
      <c r="SSC422" s="274"/>
      <c r="SSD422" s="274"/>
      <c r="SSE422" s="274"/>
      <c r="SSF422" s="274"/>
      <c r="SSG422" s="274"/>
      <c r="SSH422" s="274"/>
      <c r="SSI422" s="274"/>
      <c r="SSJ422" s="274"/>
      <c r="SSK422" s="274"/>
      <c r="SSL422" s="274"/>
      <c r="SSM422" s="274"/>
      <c r="SSN422" s="274"/>
      <c r="SSO422" s="274"/>
      <c r="SSP422" s="274"/>
      <c r="SSQ422" s="274"/>
      <c r="SSR422" s="274"/>
      <c r="SSS422" s="274"/>
      <c r="SST422" s="274"/>
      <c r="SSU422" s="274"/>
      <c r="SSV422" s="274"/>
      <c r="SSW422" s="274"/>
      <c r="SSX422" s="274"/>
      <c r="SSY422" s="274"/>
      <c r="SSZ422" s="274"/>
      <c r="STA422" s="274"/>
      <c r="STB422" s="274"/>
      <c r="STC422" s="274"/>
      <c r="STD422" s="274"/>
      <c r="STE422" s="274"/>
      <c r="STF422" s="274"/>
      <c r="STG422" s="274"/>
      <c r="STH422" s="274"/>
      <c r="STI422" s="274"/>
      <c r="STJ422" s="274"/>
      <c r="STK422" s="274"/>
      <c r="STL422" s="274"/>
      <c r="STM422" s="274"/>
      <c r="STN422" s="274"/>
      <c r="STO422" s="274"/>
      <c r="STP422" s="274"/>
      <c r="STQ422" s="274"/>
      <c r="STR422" s="274"/>
      <c r="STS422" s="274"/>
      <c r="STT422" s="274"/>
      <c r="STU422" s="274"/>
      <c r="STV422" s="274"/>
      <c r="STW422" s="274"/>
      <c r="STX422" s="274"/>
      <c r="STY422" s="274"/>
      <c r="STZ422" s="274"/>
      <c r="SUA422" s="274"/>
      <c r="SUB422" s="274"/>
      <c r="SUC422" s="274"/>
      <c r="SUD422" s="274"/>
      <c r="SUE422" s="274"/>
      <c r="SUF422" s="274"/>
      <c r="SUG422" s="274"/>
      <c r="SUH422" s="274"/>
      <c r="SUI422" s="274"/>
      <c r="SUJ422" s="274"/>
      <c r="SUK422" s="274"/>
      <c r="SUL422" s="274"/>
      <c r="SUM422" s="274"/>
      <c r="SUN422" s="274"/>
      <c r="SUO422" s="274"/>
      <c r="SUP422" s="274"/>
      <c r="SUQ422" s="274"/>
      <c r="SUR422" s="274"/>
      <c r="SUS422" s="274"/>
      <c r="SUT422" s="274"/>
      <c r="SUU422" s="274"/>
      <c r="SUV422" s="274"/>
      <c r="SUW422" s="274"/>
      <c r="SUX422" s="274"/>
      <c r="SUY422" s="274"/>
      <c r="SUZ422" s="274"/>
      <c r="SVA422" s="274"/>
      <c r="SVB422" s="274"/>
      <c r="SVC422" s="274"/>
      <c r="SVD422" s="274"/>
      <c r="SVE422" s="274"/>
      <c r="SVF422" s="274"/>
      <c r="SVG422" s="274"/>
      <c r="SVH422" s="274"/>
      <c r="SVI422" s="274"/>
      <c r="SVJ422" s="274"/>
      <c r="SVK422" s="274"/>
      <c r="SVL422" s="274"/>
      <c r="SVM422" s="274"/>
      <c r="SVN422" s="274"/>
      <c r="SVO422" s="274"/>
      <c r="SVP422" s="274"/>
      <c r="SVQ422" s="274"/>
      <c r="SVR422" s="274"/>
      <c r="SVS422" s="274"/>
      <c r="SVT422" s="274"/>
      <c r="SVU422" s="274"/>
      <c r="SVV422" s="274"/>
      <c r="SVW422" s="274"/>
      <c r="SVX422" s="274"/>
      <c r="SVY422" s="274"/>
      <c r="SVZ422" s="274"/>
      <c r="SWA422" s="274"/>
      <c r="SWB422" s="274"/>
      <c r="SWC422" s="274"/>
      <c r="SWD422" s="274"/>
      <c r="SWE422" s="274"/>
      <c r="SWF422" s="274"/>
      <c r="SWG422" s="274"/>
      <c r="SWH422" s="274"/>
      <c r="SWI422" s="274"/>
      <c r="SWJ422" s="274"/>
      <c r="SWK422" s="274"/>
      <c r="SWL422" s="274"/>
      <c r="SWM422" s="274"/>
      <c r="SWN422" s="274"/>
      <c r="SWO422" s="274"/>
      <c r="SWP422" s="274"/>
      <c r="SWQ422" s="274"/>
      <c r="SWR422" s="274"/>
      <c r="SWS422" s="274"/>
      <c r="SWT422" s="274"/>
      <c r="SWU422" s="274"/>
      <c r="SWV422" s="274"/>
      <c r="SWW422" s="274"/>
      <c r="SWX422" s="274"/>
      <c r="SWY422" s="274"/>
      <c r="SWZ422" s="274"/>
      <c r="SXA422" s="274"/>
      <c r="SXB422" s="274"/>
      <c r="SXC422" s="274"/>
      <c r="SXD422" s="274"/>
      <c r="SXE422" s="274"/>
      <c r="SXF422" s="274"/>
      <c r="SXG422" s="274"/>
      <c r="SXH422" s="274"/>
      <c r="SXI422" s="274"/>
      <c r="SXJ422" s="274"/>
      <c r="SXK422" s="274"/>
      <c r="SXL422" s="274"/>
      <c r="SXM422" s="274"/>
      <c r="SXN422" s="274"/>
      <c r="SXO422" s="274"/>
      <c r="SXP422" s="274"/>
      <c r="SXQ422" s="274"/>
      <c r="SXR422" s="274"/>
      <c r="SXS422" s="274"/>
      <c r="SXT422" s="274"/>
      <c r="SXU422" s="274"/>
      <c r="SXV422" s="274"/>
      <c r="SXW422" s="274"/>
      <c r="SXX422" s="274"/>
      <c r="SXY422" s="274"/>
      <c r="SXZ422" s="274"/>
      <c r="SYA422" s="274"/>
      <c r="SYB422" s="274"/>
      <c r="SYC422" s="274"/>
      <c r="SYD422" s="274"/>
      <c r="SYE422" s="274"/>
      <c r="SYF422" s="274"/>
      <c r="SYG422" s="274"/>
      <c r="SYH422" s="274"/>
      <c r="SYI422" s="274"/>
      <c r="SYJ422" s="274"/>
      <c r="SYK422" s="274"/>
      <c r="SYL422" s="274"/>
      <c r="SYM422" s="274"/>
      <c r="SYN422" s="274"/>
      <c r="SYO422" s="274"/>
      <c r="SYP422" s="274"/>
      <c r="SYQ422" s="274"/>
      <c r="SYR422" s="274"/>
      <c r="SYS422" s="274"/>
      <c r="SYT422" s="274"/>
      <c r="SYU422" s="274"/>
      <c r="SYV422" s="274"/>
      <c r="SYW422" s="274"/>
      <c r="SYX422" s="274"/>
      <c r="SYY422" s="274"/>
      <c r="SYZ422" s="274"/>
      <c r="SZA422" s="274"/>
      <c r="SZB422" s="274"/>
      <c r="SZC422" s="274"/>
      <c r="SZD422" s="274"/>
      <c r="SZE422" s="274"/>
      <c r="SZF422" s="274"/>
      <c r="SZG422" s="274"/>
      <c r="SZH422" s="274"/>
      <c r="SZI422" s="274"/>
      <c r="SZJ422" s="274"/>
      <c r="SZK422" s="274"/>
      <c r="SZL422" s="274"/>
      <c r="SZM422" s="274"/>
      <c r="SZN422" s="274"/>
      <c r="SZO422" s="274"/>
      <c r="SZP422" s="274"/>
      <c r="SZQ422" s="274"/>
      <c r="SZR422" s="274"/>
      <c r="SZS422" s="274"/>
      <c r="SZT422" s="274"/>
      <c r="SZU422" s="274"/>
      <c r="SZV422" s="274"/>
      <c r="SZW422" s="274"/>
      <c r="SZX422" s="274"/>
      <c r="SZY422" s="274"/>
      <c r="SZZ422" s="274"/>
      <c r="TAA422" s="274"/>
      <c r="TAB422" s="274"/>
      <c r="TAC422" s="274"/>
      <c r="TAD422" s="274"/>
      <c r="TAE422" s="274"/>
      <c r="TAF422" s="274"/>
      <c r="TAG422" s="274"/>
      <c r="TAH422" s="274"/>
      <c r="TAI422" s="274"/>
      <c r="TAJ422" s="274"/>
      <c r="TAK422" s="274"/>
      <c r="TAL422" s="274"/>
      <c r="TAM422" s="274"/>
      <c r="TAN422" s="274"/>
      <c r="TAO422" s="274"/>
      <c r="TAP422" s="274"/>
      <c r="TAQ422" s="274"/>
      <c r="TAR422" s="274"/>
      <c r="TAS422" s="274"/>
      <c r="TAT422" s="274"/>
      <c r="TAU422" s="274"/>
      <c r="TAV422" s="274"/>
      <c r="TAW422" s="274"/>
      <c r="TAX422" s="274"/>
      <c r="TAY422" s="274"/>
      <c r="TAZ422" s="274"/>
      <c r="TBA422" s="274"/>
      <c r="TBB422" s="274"/>
      <c r="TBC422" s="274"/>
      <c r="TBD422" s="274"/>
      <c r="TBE422" s="274"/>
      <c r="TBF422" s="274"/>
      <c r="TBG422" s="274"/>
      <c r="TBH422" s="274"/>
      <c r="TBI422" s="274"/>
      <c r="TBJ422" s="274"/>
      <c r="TBK422" s="274"/>
      <c r="TBL422" s="274"/>
      <c r="TBM422" s="274"/>
      <c r="TBN422" s="274"/>
      <c r="TBO422" s="274"/>
      <c r="TBP422" s="274"/>
      <c r="TBQ422" s="274"/>
      <c r="TBR422" s="274"/>
      <c r="TBS422" s="274"/>
      <c r="TBT422" s="274"/>
      <c r="TBU422" s="274"/>
      <c r="TBV422" s="274"/>
      <c r="TBW422" s="274"/>
      <c r="TBX422" s="274"/>
      <c r="TBY422" s="274"/>
      <c r="TBZ422" s="274"/>
      <c r="TCA422" s="274"/>
      <c r="TCB422" s="274"/>
      <c r="TCC422" s="274"/>
      <c r="TCD422" s="274"/>
      <c r="TCE422" s="274"/>
      <c r="TCF422" s="274"/>
      <c r="TCG422" s="274"/>
      <c r="TCH422" s="274"/>
      <c r="TCI422" s="274"/>
      <c r="TCJ422" s="274"/>
      <c r="TCK422" s="274"/>
      <c r="TCL422" s="274"/>
      <c r="TCM422" s="274"/>
      <c r="TCN422" s="274"/>
      <c r="TCO422" s="274"/>
      <c r="TCP422" s="274"/>
      <c r="TCQ422" s="274"/>
      <c r="TCR422" s="274"/>
      <c r="TCS422" s="274"/>
      <c r="TCT422" s="274"/>
      <c r="TCU422" s="274"/>
      <c r="TCV422" s="274"/>
      <c r="TCW422" s="274"/>
      <c r="TCX422" s="274"/>
      <c r="TCY422" s="274"/>
      <c r="TCZ422" s="274"/>
      <c r="TDA422" s="274"/>
      <c r="TDB422" s="274"/>
      <c r="TDC422" s="274"/>
      <c r="TDD422" s="274"/>
      <c r="TDE422" s="274"/>
      <c r="TDF422" s="274"/>
      <c r="TDG422" s="274"/>
      <c r="TDH422" s="274"/>
      <c r="TDI422" s="274"/>
      <c r="TDJ422" s="274"/>
      <c r="TDK422" s="274"/>
      <c r="TDL422" s="274"/>
      <c r="TDM422" s="274"/>
      <c r="TDN422" s="274"/>
      <c r="TDO422" s="274"/>
      <c r="TDP422" s="274"/>
      <c r="TDQ422" s="274"/>
      <c r="TDR422" s="274"/>
      <c r="TDS422" s="274"/>
      <c r="TDT422" s="274"/>
      <c r="TDU422" s="274"/>
      <c r="TDV422" s="274"/>
      <c r="TDW422" s="274"/>
      <c r="TDX422" s="274"/>
      <c r="TDY422" s="274"/>
      <c r="TDZ422" s="274"/>
      <c r="TEA422" s="274"/>
      <c r="TEB422" s="274"/>
      <c r="TEC422" s="274"/>
      <c r="TED422" s="274"/>
      <c r="TEE422" s="274"/>
      <c r="TEF422" s="274"/>
      <c r="TEG422" s="274"/>
      <c r="TEH422" s="274"/>
      <c r="TEI422" s="274"/>
      <c r="TEJ422" s="274"/>
      <c r="TEK422" s="274"/>
      <c r="TEL422" s="274"/>
      <c r="TEM422" s="274"/>
      <c r="TEN422" s="274"/>
      <c r="TEO422" s="274"/>
      <c r="TEP422" s="274"/>
      <c r="TEQ422" s="274"/>
      <c r="TER422" s="274"/>
      <c r="TES422" s="274"/>
      <c r="TET422" s="274"/>
      <c r="TEU422" s="274"/>
      <c r="TEV422" s="274"/>
      <c r="TEW422" s="274"/>
      <c r="TEX422" s="274"/>
      <c r="TEY422" s="274"/>
      <c r="TEZ422" s="274"/>
      <c r="TFA422" s="274"/>
      <c r="TFB422" s="274"/>
      <c r="TFC422" s="274"/>
      <c r="TFD422" s="274"/>
      <c r="TFE422" s="274"/>
      <c r="TFF422" s="274"/>
      <c r="TFG422" s="274"/>
      <c r="TFH422" s="274"/>
      <c r="TFI422" s="274"/>
      <c r="TFJ422" s="274"/>
      <c r="TFK422" s="274"/>
      <c r="TFL422" s="274"/>
      <c r="TFM422" s="274"/>
      <c r="TFN422" s="274"/>
      <c r="TFO422" s="274"/>
      <c r="TFP422" s="274"/>
      <c r="TFQ422" s="274"/>
      <c r="TFR422" s="274"/>
      <c r="TFS422" s="274"/>
      <c r="TFT422" s="274"/>
      <c r="TFU422" s="274"/>
      <c r="TFV422" s="274"/>
      <c r="TFW422" s="274"/>
      <c r="TFX422" s="274"/>
      <c r="TFY422" s="274"/>
      <c r="TFZ422" s="274"/>
      <c r="TGA422" s="274"/>
      <c r="TGB422" s="274"/>
      <c r="TGC422" s="274"/>
      <c r="TGD422" s="274"/>
      <c r="TGE422" s="274"/>
      <c r="TGF422" s="274"/>
      <c r="TGG422" s="274"/>
      <c r="TGH422" s="274"/>
      <c r="TGI422" s="274"/>
      <c r="TGJ422" s="274"/>
      <c r="TGK422" s="274"/>
      <c r="TGL422" s="274"/>
      <c r="TGM422" s="274"/>
      <c r="TGN422" s="274"/>
      <c r="TGO422" s="274"/>
      <c r="TGP422" s="274"/>
      <c r="TGQ422" s="274"/>
      <c r="TGR422" s="274"/>
      <c r="TGS422" s="274"/>
      <c r="TGT422" s="274"/>
      <c r="TGU422" s="274"/>
      <c r="TGV422" s="274"/>
      <c r="TGW422" s="274"/>
      <c r="TGX422" s="274"/>
      <c r="TGY422" s="274"/>
      <c r="TGZ422" s="274"/>
      <c r="THA422" s="274"/>
      <c r="THB422" s="274"/>
      <c r="THC422" s="274"/>
      <c r="THD422" s="274"/>
      <c r="THE422" s="274"/>
      <c r="THF422" s="274"/>
      <c r="THG422" s="274"/>
      <c r="THH422" s="274"/>
      <c r="THI422" s="274"/>
      <c r="THJ422" s="274"/>
      <c r="THK422" s="274"/>
      <c r="THL422" s="274"/>
      <c r="THM422" s="274"/>
      <c r="THN422" s="274"/>
      <c r="THO422" s="274"/>
      <c r="THP422" s="274"/>
      <c r="THQ422" s="274"/>
      <c r="THR422" s="274"/>
      <c r="THS422" s="274"/>
      <c r="THT422" s="274"/>
      <c r="THU422" s="274"/>
      <c r="THV422" s="274"/>
      <c r="THW422" s="274"/>
      <c r="THX422" s="274"/>
      <c r="THY422" s="274"/>
      <c r="THZ422" s="274"/>
      <c r="TIA422" s="274"/>
      <c r="TIB422" s="274"/>
      <c r="TIC422" s="274"/>
      <c r="TID422" s="274"/>
      <c r="TIE422" s="274"/>
      <c r="TIF422" s="274"/>
      <c r="TIG422" s="274"/>
      <c r="TIH422" s="274"/>
      <c r="TII422" s="274"/>
      <c r="TIJ422" s="274"/>
      <c r="TIK422" s="274"/>
      <c r="TIL422" s="274"/>
      <c r="TIM422" s="274"/>
      <c r="TIN422" s="274"/>
      <c r="TIO422" s="274"/>
      <c r="TIP422" s="274"/>
      <c r="TIQ422" s="274"/>
      <c r="TIR422" s="274"/>
      <c r="TIS422" s="274"/>
      <c r="TIT422" s="274"/>
      <c r="TIU422" s="274"/>
      <c r="TIV422" s="274"/>
      <c r="TIW422" s="274"/>
      <c r="TIX422" s="274"/>
      <c r="TIY422" s="274"/>
      <c r="TIZ422" s="274"/>
      <c r="TJA422" s="274"/>
      <c r="TJB422" s="274"/>
      <c r="TJC422" s="274"/>
      <c r="TJD422" s="274"/>
      <c r="TJE422" s="274"/>
      <c r="TJF422" s="274"/>
      <c r="TJG422" s="274"/>
      <c r="TJH422" s="274"/>
      <c r="TJI422" s="274"/>
      <c r="TJJ422" s="274"/>
      <c r="TJK422" s="274"/>
      <c r="TJL422" s="274"/>
      <c r="TJM422" s="274"/>
      <c r="TJN422" s="274"/>
      <c r="TJO422" s="274"/>
      <c r="TJP422" s="274"/>
      <c r="TJQ422" s="274"/>
      <c r="TJR422" s="274"/>
      <c r="TJS422" s="274"/>
      <c r="TJT422" s="274"/>
      <c r="TJU422" s="274"/>
      <c r="TJV422" s="274"/>
      <c r="TJW422" s="274"/>
      <c r="TJX422" s="274"/>
      <c r="TJY422" s="274"/>
      <c r="TJZ422" s="274"/>
      <c r="TKA422" s="274"/>
      <c r="TKB422" s="274"/>
      <c r="TKC422" s="274"/>
      <c r="TKD422" s="274"/>
      <c r="TKE422" s="274"/>
      <c r="TKF422" s="274"/>
      <c r="TKG422" s="274"/>
      <c r="TKH422" s="274"/>
      <c r="TKI422" s="274"/>
      <c r="TKJ422" s="274"/>
      <c r="TKK422" s="274"/>
      <c r="TKL422" s="274"/>
      <c r="TKM422" s="274"/>
      <c r="TKN422" s="274"/>
      <c r="TKO422" s="274"/>
      <c r="TKP422" s="274"/>
      <c r="TKQ422" s="274"/>
      <c r="TKR422" s="274"/>
      <c r="TKS422" s="274"/>
      <c r="TKT422" s="274"/>
      <c r="TKU422" s="274"/>
      <c r="TKV422" s="274"/>
      <c r="TKW422" s="274"/>
      <c r="TKX422" s="274"/>
      <c r="TKY422" s="274"/>
      <c r="TKZ422" s="274"/>
      <c r="TLA422" s="274"/>
      <c r="TLB422" s="274"/>
      <c r="TLC422" s="274"/>
      <c r="TLD422" s="274"/>
      <c r="TLE422" s="274"/>
      <c r="TLF422" s="274"/>
      <c r="TLG422" s="274"/>
      <c r="TLH422" s="274"/>
      <c r="TLI422" s="274"/>
      <c r="TLJ422" s="274"/>
      <c r="TLK422" s="274"/>
      <c r="TLL422" s="274"/>
      <c r="TLM422" s="274"/>
      <c r="TLN422" s="274"/>
      <c r="TLO422" s="274"/>
      <c r="TLP422" s="274"/>
      <c r="TLQ422" s="274"/>
      <c r="TLR422" s="274"/>
      <c r="TLS422" s="274"/>
      <c r="TLT422" s="274"/>
      <c r="TLU422" s="274"/>
      <c r="TLV422" s="274"/>
      <c r="TLW422" s="274"/>
      <c r="TLX422" s="274"/>
      <c r="TLY422" s="274"/>
      <c r="TLZ422" s="274"/>
      <c r="TMA422" s="274"/>
      <c r="TMB422" s="274"/>
      <c r="TMC422" s="274"/>
      <c r="TMD422" s="274"/>
      <c r="TME422" s="274"/>
      <c r="TMF422" s="274"/>
      <c r="TMG422" s="274"/>
      <c r="TMH422" s="274"/>
      <c r="TMI422" s="274"/>
      <c r="TMJ422" s="274"/>
      <c r="TMK422" s="274"/>
      <c r="TML422" s="274"/>
      <c r="TMM422" s="274"/>
      <c r="TMN422" s="274"/>
      <c r="TMO422" s="274"/>
      <c r="TMP422" s="274"/>
      <c r="TMQ422" s="274"/>
      <c r="TMR422" s="274"/>
      <c r="TMS422" s="274"/>
      <c r="TMT422" s="274"/>
      <c r="TMU422" s="274"/>
      <c r="TMV422" s="274"/>
      <c r="TMW422" s="274"/>
      <c r="TMX422" s="274"/>
      <c r="TMY422" s="274"/>
      <c r="TMZ422" s="274"/>
      <c r="TNA422" s="274"/>
      <c r="TNB422" s="274"/>
      <c r="TNC422" s="274"/>
      <c r="TND422" s="274"/>
      <c r="TNE422" s="274"/>
      <c r="TNF422" s="274"/>
      <c r="TNG422" s="274"/>
      <c r="TNH422" s="274"/>
      <c r="TNI422" s="274"/>
      <c r="TNJ422" s="274"/>
      <c r="TNK422" s="274"/>
      <c r="TNL422" s="274"/>
      <c r="TNM422" s="274"/>
      <c r="TNN422" s="274"/>
      <c r="TNO422" s="274"/>
      <c r="TNP422" s="274"/>
      <c r="TNQ422" s="274"/>
      <c r="TNR422" s="274"/>
      <c r="TNS422" s="274"/>
      <c r="TNT422" s="274"/>
      <c r="TNU422" s="274"/>
      <c r="TNV422" s="274"/>
      <c r="TNW422" s="274"/>
      <c r="TNX422" s="274"/>
      <c r="TNY422" s="274"/>
      <c r="TNZ422" s="274"/>
      <c r="TOA422" s="274"/>
      <c r="TOB422" s="274"/>
      <c r="TOC422" s="274"/>
      <c r="TOD422" s="274"/>
      <c r="TOE422" s="274"/>
      <c r="TOF422" s="274"/>
      <c r="TOG422" s="274"/>
      <c r="TOH422" s="274"/>
      <c r="TOI422" s="274"/>
      <c r="TOJ422" s="274"/>
      <c r="TOK422" s="274"/>
      <c r="TOL422" s="274"/>
      <c r="TOM422" s="274"/>
      <c r="TON422" s="274"/>
      <c r="TOO422" s="274"/>
      <c r="TOP422" s="274"/>
      <c r="TOQ422" s="274"/>
      <c r="TOR422" s="274"/>
      <c r="TOS422" s="274"/>
      <c r="TOT422" s="274"/>
      <c r="TOU422" s="274"/>
      <c r="TOV422" s="274"/>
      <c r="TOW422" s="274"/>
      <c r="TOX422" s="274"/>
      <c r="TOY422" s="274"/>
      <c r="TOZ422" s="274"/>
      <c r="TPA422" s="274"/>
      <c r="TPB422" s="274"/>
      <c r="TPC422" s="274"/>
      <c r="TPD422" s="274"/>
      <c r="TPE422" s="274"/>
      <c r="TPF422" s="274"/>
      <c r="TPG422" s="274"/>
      <c r="TPH422" s="274"/>
      <c r="TPI422" s="274"/>
      <c r="TPJ422" s="274"/>
      <c r="TPK422" s="274"/>
      <c r="TPL422" s="274"/>
      <c r="TPM422" s="274"/>
      <c r="TPN422" s="274"/>
      <c r="TPO422" s="274"/>
      <c r="TPP422" s="274"/>
      <c r="TPQ422" s="274"/>
      <c r="TPR422" s="274"/>
      <c r="TPS422" s="274"/>
      <c r="TPT422" s="274"/>
      <c r="TPU422" s="274"/>
      <c r="TPV422" s="274"/>
      <c r="TPW422" s="274"/>
      <c r="TPX422" s="274"/>
      <c r="TPY422" s="274"/>
      <c r="TPZ422" s="274"/>
      <c r="TQA422" s="274"/>
      <c r="TQB422" s="274"/>
      <c r="TQC422" s="274"/>
      <c r="TQD422" s="274"/>
      <c r="TQE422" s="274"/>
      <c r="TQF422" s="274"/>
      <c r="TQG422" s="274"/>
      <c r="TQH422" s="274"/>
      <c r="TQI422" s="274"/>
      <c r="TQJ422" s="274"/>
      <c r="TQK422" s="274"/>
      <c r="TQL422" s="274"/>
      <c r="TQM422" s="274"/>
      <c r="TQN422" s="274"/>
      <c r="TQO422" s="274"/>
      <c r="TQP422" s="274"/>
      <c r="TQQ422" s="274"/>
      <c r="TQR422" s="274"/>
      <c r="TQS422" s="274"/>
      <c r="TQT422" s="274"/>
      <c r="TQU422" s="274"/>
      <c r="TQV422" s="274"/>
      <c r="TQW422" s="274"/>
      <c r="TQX422" s="274"/>
      <c r="TQY422" s="274"/>
      <c r="TQZ422" s="274"/>
      <c r="TRA422" s="274"/>
      <c r="TRB422" s="274"/>
      <c r="TRC422" s="274"/>
      <c r="TRD422" s="274"/>
      <c r="TRE422" s="274"/>
      <c r="TRF422" s="274"/>
      <c r="TRG422" s="274"/>
      <c r="TRH422" s="274"/>
      <c r="TRI422" s="274"/>
      <c r="TRJ422" s="274"/>
      <c r="TRK422" s="274"/>
      <c r="TRL422" s="274"/>
      <c r="TRM422" s="274"/>
      <c r="TRN422" s="274"/>
      <c r="TRO422" s="274"/>
      <c r="TRP422" s="274"/>
      <c r="TRQ422" s="274"/>
      <c r="TRR422" s="274"/>
      <c r="TRS422" s="274"/>
      <c r="TRT422" s="274"/>
      <c r="TRU422" s="274"/>
      <c r="TRV422" s="274"/>
      <c r="TRW422" s="274"/>
      <c r="TRX422" s="274"/>
      <c r="TRY422" s="274"/>
      <c r="TRZ422" s="274"/>
      <c r="TSA422" s="274"/>
      <c r="TSB422" s="274"/>
      <c r="TSC422" s="274"/>
      <c r="TSD422" s="274"/>
      <c r="TSE422" s="274"/>
      <c r="TSF422" s="274"/>
      <c r="TSG422" s="274"/>
      <c r="TSH422" s="274"/>
      <c r="TSI422" s="274"/>
      <c r="TSJ422" s="274"/>
      <c r="TSK422" s="274"/>
      <c r="TSL422" s="274"/>
      <c r="TSM422" s="274"/>
      <c r="TSN422" s="274"/>
      <c r="TSO422" s="274"/>
      <c r="TSP422" s="274"/>
      <c r="TSQ422" s="274"/>
      <c r="TSR422" s="274"/>
      <c r="TSS422" s="274"/>
      <c r="TST422" s="274"/>
      <c r="TSU422" s="274"/>
      <c r="TSV422" s="274"/>
      <c r="TSW422" s="274"/>
      <c r="TSX422" s="274"/>
      <c r="TSY422" s="274"/>
      <c r="TSZ422" s="274"/>
      <c r="TTA422" s="274"/>
      <c r="TTB422" s="274"/>
      <c r="TTC422" s="274"/>
      <c r="TTD422" s="274"/>
      <c r="TTE422" s="274"/>
      <c r="TTF422" s="274"/>
      <c r="TTG422" s="274"/>
      <c r="TTH422" s="274"/>
      <c r="TTI422" s="274"/>
      <c r="TTJ422" s="274"/>
      <c r="TTK422" s="274"/>
      <c r="TTL422" s="274"/>
      <c r="TTM422" s="274"/>
      <c r="TTN422" s="274"/>
      <c r="TTO422" s="274"/>
      <c r="TTP422" s="274"/>
      <c r="TTQ422" s="274"/>
      <c r="TTR422" s="274"/>
      <c r="TTS422" s="274"/>
      <c r="TTT422" s="274"/>
      <c r="TTU422" s="274"/>
      <c r="TTV422" s="274"/>
      <c r="TTW422" s="274"/>
      <c r="TTX422" s="274"/>
      <c r="TTY422" s="274"/>
      <c r="TTZ422" s="274"/>
      <c r="TUA422" s="274"/>
      <c r="TUB422" s="274"/>
      <c r="TUC422" s="274"/>
      <c r="TUD422" s="274"/>
      <c r="TUE422" s="274"/>
      <c r="TUF422" s="274"/>
      <c r="TUG422" s="274"/>
      <c r="TUH422" s="274"/>
      <c r="TUI422" s="274"/>
      <c r="TUJ422" s="274"/>
      <c r="TUK422" s="274"/>
      <c r="TUL422" s="274"/>
      <c r="TUM422" s="274"/>
      <c r="TUN422" s="274"/>
      <c r="TUO422" s="274"/>
      <c r="TUP422" s="274"/>
      <c r="TUQ422" s="274"/>
      <c r="TUR422" s="274"/>
      <c r="TUS422" s="274"/>
      <c r="TUT422" s="274"/>
      <c r="TUU422" s="274"/>
      <c r="TUV422" s="274"/>
      <c r="TUW422" s="274"/>
      <c r="TUX422" s="274"/>
      <c r="TUY422" s="274"/>
      <c r="TUZ422" s="274"/>
      <c r="TVA422" s="274"/>
      <c r="TVB422" s="274"/>
      <c r="TVC422" s="274"/>
      <c r="TVD422" s="274"/>
      <c r="TVE422" s="274"/>
      <c r="TVF422" s="274"/>
      <c r="TVG422" s="274"/>
      <c r="TVH422" s="274"/>
      <c r="TVI422" s="274"/>
      <c r="TVJ422" s="274"/>
      <c r="TVK422" s="274"/>
      <c r="TVL422" s="274"/>
      <c r="TVM422" s="274"/>
      <c r="TVN422" s="274"/>
      <c r="TVO422" s="274"/>
      <c r="TVP422" s="274"/>
      <c r="TVQ422" s="274"/>
      <c r="TVR422" s="274"/>
      <c r="TVS422" s="274"/>
      <c r="TVT422" s="274"/>
      <c r="TVU422" s="274"/>
      <c r="TVV422" s="274"/>
      <c r="TVW422" s="274"/>
      <c r="TVX422" s="274"/>
      <c r="TVY422" s="274"/>
      <c r="TVZ422" s="274"/>
      <c r="TWA422" s="274"/>
      <c r="TWB422" s="274"/>
      <c r="TWC422" s="274"/>
      <c r="TWD422" s="274"/>
      <c r="TWE422" s="274"/>
      <c r="TWF422" s="274"/>
      <c r="TWG422" s="274"/>
      <c r="TWH422" s="274"/>
      <c r="TWI422" s="274"/>
      <c r="TWJ422" s="274"/>
      <c r="TWK422" s="274"/>
      <c r="TWL422" s="274"/>
      <c r="TWM422" s="274"/>
      <c r="TWN422" s="274"/>
      <c r="TWO422" s="274"/>
      <c r="TWP422" s="274"/>
      <c r="TWQ422" s="274"/>
      <c r="TWR422" s="274"/>
      <c r="TWS422" s="274"/>
      <c r="TWT422" s="274"/>
      <c r="TWU422" s="274"/>
      <c r="TWV422" s="274"/>
      <c r="TWW422" s="274"/>
      <c r="TWX422" s="274"/>
      <c r="TWY422" s="274"/>
      <c r="TWZ422" s="274"/>
      <c r="TXA422" s="274"/>
      <c r="TXB422" s="274"/>
      <c r="TXC422" s="274"/>
      <c r="TXD422" s="274"/>
      <c r="TXE422" s="274"/>
      <c r="TXF422" s="274"/>
      <c r="TXG422" s="274"/>
      <c r="TXH422" s="274"/>
      <c r="TXI422" s="274"/>
      <c r="TXJ422" s="274"/>
      <c r="TXK422" s="274"/>
      <c r="TXL422" s="274"/>
      <c r="TXM422" s="274"/>
      <c r="TXN422" s="274"/>
      <c r="TXO422" s="274"/>
      <c r="TXP422" s="274"/>
      <c r="TXQ422" s="274"/>
      <c r="TXR422" s="274"/>
      <c r="TXS422" s="274"/>
      <c r="TXT422" s="274"/>
      <c r="TXU422" s="274"/>
      <c r="TXV422" s="274"/>
      <c r="TXW422" s="274"/>
      <c r="TXX422" s="274"/>
      <c r="TXY422" s="274"/>
      <c r="TXZ422" s="274"/>
      <c r="TYA422" s="274"/>
      <c r="TYB422" s="274"/>
      <c r="TYC422" s="274"/>
      <c r="TYD422" s="274"/>
      <c r="TYE422" s="274"/>
      <c r="TYF422" s="274"/>
      <c r="TYG422" s="274"/>
      <c r="TYH422" s="274"/>
      <c r="TYI422" s="274"/>
      <c r="TYJ422" s="274"/>
      <c r="TYK422" s="274"/>
      <c r="TYL422" s="274"/>
      <c r="TYM422" s="274"/>
      <c r="TYN422" s="274"/>
      <c r="TYO422" s="274"/>
      <c r="TYP422" s="274"/>
      <c r="TYQ422" s="274"/>
      <c r="TYR422" s="274"/>
      <c r="TYS422" s="274"/>
      <c r="TYT422" s="274"/>
      <c r="TYU422" s="274"/>
      <c r="TYV422" s="274"/>
      <c r="TYW422" s="274"/>
      <c r="TYX422" s="274"/>
      <c r="TYY422" s="274"/>
      <c r="TYZ422" s="274"/>
      <c r="TZA422" s="274"/>
      <c r="TZB422" s="274"/>
      <c r="TZC422" s="274"/>
      <c r="TZD422" s="274"/>
      <c r="TZE422" s="274"/>
      <c r="TZF422" s="274"/>
      <c r="TZG422" s="274"/>
      <c r="TZH422" s="274"/>
      <c r="TZI422" s="274"/>
      <c r="TZJ422" s="274"/>
      <c r="TZK422" s="274"/>
      <c r="TZL422" s="274"/>
      <c r="TZM422" s="274"/>
      <c r="TZN422" s="274"/>
      <c r="TZO422" s="274"/>
      <c r="TZP422" s="274"/>
      <c r="TZQ422" s="274"/>
      <c r="TZR422" s="274"/>
      <c r="TZS422" s="274"/>
      <c r="TZT422" s="274"/>
      <c r="TZU422" s="274"/>
      <c r="TZV422" s="274"/>
      <c r="TZW422" s="274"/>
      <c r="TZX422" s="274"/>
      <c r="TZY422" s="274"/>
      <c r="TZZ422" s="274"/>
      <c r="UAA422" s="274"/>
      <c r="UAB422" s="274"/>
      <c r="UAC422" s="274"/>
      <c r="UAD422" s="274"/>
      <c r="UAE422" s="274"/>
      <c r="UAF422" s="274"/>
      <c r="UAG422" s="274"/>
      <c r="UAH422" s="274"/>
      <c r="UAI422" s="274"/>
      <c r="UAJ422" s="274"/>
      <c r="UAK422" s="274"/>
      <c r="UAL422" s="274"/>
      <c r="UAM422" s="274"/>
      <c r="UAN422" s="274"/>
      <c r="UAO422" s="274"/>
      <c r="UAP422" s="274"/>
      <c r="UAQ422" s="274"/>
      <c r="UAR422" s="274"/>
      <c r="UAS422" s="274"/>
      <c r="UAT422" s="274"/>
      <c r="UAU422" s="274"/>
      <c r="UAV422" s="274"/>
      <c r="UAW422" s="274"/>
      <c r="UAX422" s="274"/>
      <c r="UAY422" s="274"/>
      <c r="UAZ422" s="274"/>
      <c r="UBA422" s="274"/>
      <c r="UBB422" s="274"/>
      <c r="UBC422" s="274"/>
      <c r="UBD422" s="274"/>
      <c r="UBE422" s="274"/>
      <c r="UBF422" s="274"/>
      <c r="UBG422" s="274"/>
      <c r="UBH422" s="274"/>
      <c r="UBI422" s="274"/>
      <c r="UBJ422" s="274"/>
      <c r="UBK422" s="274"/>
      <c r="UBL422" s="274"/>
      <c r="UBM422" s="274"/>
      <c r="UBN422" s="274"/>
      <c r="UBO422" s="274"/>
      <c r="UBP422" s="274"/>
      <c r="UBQ422" s="274"/>
      <c r="UBR422" s="274"/>
      <c r="UBS422" s="274"/>
      <c r="UBT422" s="274"/>
      <c r="UBU422" s="274"/>
      <c r="UBV422" s="274"/>
      <c r="UBW422" s="274"/>
      <c r="UBX422" s="274"/>
      <c r="UBY422" s="274"/>
      <c r="UBZ422" s="274"/>
      <c r="UCA422" s="274"/>
      <c r="UCB422" s="274"/>
      <c r="UCC422" s="274"/>
      <c r="UCD422" s="274"/>
      <c r="UCE422" s="274"/>
      <c r="UCF422" s="274"/>
      <c r="UCG422" s="274"/>
      <c r="UCH422" s="274"/>
      <c r="UCI422" s="274"/>
      <c r="UCJ422" s="274"/>
      <c r="UCK422" s="274"/>
      <c r="UCL422" s="274"/>
      <c r="UCM422" s="274"/>
      <c r="UCN422" s="274"/>
      <c r="UCO422" s="274"/>
      <c r="UCP422" s="274"/>
      <c r="UCQ422" s="274"/>
      <c r="UCR422" s="274"/>
      <c r="UCS422" s="274"/>
      <c r="UCT422" s="274"/>
      <c r="UCU422" s="274"/>
      <c r="UCV422" s="274"/>
      <c r="UCW422" s="274"/>
      <c r="UCX422" s="274"/>
      <c r="UCY422" s="274"/>
      <c r="UCZ422" s="274"/>
      <c r="UDA422" s="274"/>
      <c r="UDB422" s="274"/>
      <c r="UDC422" s="274"/>
      <c r="UDD422" s="274"/>
      <c r="UDE422" s="274"/>
      <c r="UDF422" s="274"/>
      <c r="UDG422" s="274"/>
      <c r="UDH422" s="274"/>
      <c r="UDI422" s="274"/>
      <c r="UDJ422" s="274"/>
      <c r="UDK422" s="274"/>
      <c r="UDL422" s="274"/>
      <c r="UDM422" s="274"/>
      <c r="UDN422" s="274"/>
      <c r="UDO422" s="274"/>
      <c r="UDP422" s="274"/>
      <c r="UDQ422" s="274"/>
      <c r="UDR422" s="274"/>
      <c r="UDS422" s="274"/>
      <c r="UDT422" s="274"/>
      <c r="UDU422" s="274"/>
      <c r="UDV422" s="274"/>
      <c r="UDW422" s="274"/>
      <c r="UDX422" s="274"/>
      <c r="UDY422" s="274"/>
      <c r="UDZ422" s="274"/>
      <c r="UEA422" s="274"/>
      <c r="UEB422" s="274"/>
      <c r="UEC422" s="274"/>
      <c r="UED422" s="274"/>
      <c r="UEE422" s="274"/>
      <c r="UEF422" s="274"/>
      <c r="UEG422" s="274"/>
      <c r="UEH422" s="274"/>
      <c r="UEI422" s="274"/>
      <c r="UEJ422" s="274"/>
      <c r="UEK422" s="274"/>
      <c r="UEL422" s="274"/>
      <c r="UEM422" s="274"/>
      <c r="UEN422" s="274"/>
      <c r="UEO422" s="274"/>
      <c r="UEP422" s="274"/>
      <c r="UEQ422" s="274"/>
      <c r="UER422" s="274"/>
      <c r="UES422" s="274"/>
      <c r="UET422" s="274"/>
      <c r="UEU422" s="274"/>
      <c r="UEV422" s="274"/>
      <c r="UEW422" s="274"/>
      <c r="UEX422" s="274"/>
      <c r="UEY422" s="274"/>
      <c r="UEZ422" s="274"/>
      <c r="UFA422" s="274"/>
      <c r="UFB422" s="274"/>
      <c r="UFC422" s="274"/>
      <c r="UFD422" s="274"/>
      <c r="UFE422" s="274"/>
      <c r="UFF422" s="274"/>
      <c r="UFG422" s="274"/>
      <c r="UFH422" s="274"/>
      <c r="UFI422" s="274"/>
      <c r="UFJ422" s="274"/>
      <c r="UFK422" s="274"/>
      <c r="UFL422" s="274"/>
      <c r="UFM422" s="274"/>
      <c r="UFN422" s="274"/>
      <c r="UFO422" s="274"/>
      <c r="UFP422" s="274"/>
      <c r="UFQ422" s="274"/>
      <c r="UFR422" s="274"/>
      <c r="UFS422" s="274"/>
      <c r="UFT422" s="274"/>
      <c r="UFU422" s="274"/>
      <c r="UFV422" s="274"/>
      <c r="UFW422" s="274"/>
      <c r="UFX422" s="274"/>
      <c r="UFY422" s="274"/>
      <c r="UFZ422" s="274"/>
      <c r="UGA422" s="274"/>
      <c r="UGB422" s="274"/>
      <c r="UGC422" s="274"/>
      <c r="UGD422" s="274"/>
      <c r="UGE422" s="274"/>
      <c r="UGF422" s="274"/>
      <c r="UGG422" s="274"/>
      <c r="UGH422" s="274"/>
      <c r="UGI422" s="274"/>
      <c r="UGJ422" s="274"/>
      <c r="UGK422" s="274"/>
      <c r="UGL422" s="274"/>
      <c r="UGM422" s="274"/>
      <c r="UGN422" s="274"/>
      <c r="UGO422" s="274"/>
      <c r="UGP422" s="274"/>
      <c r="UGQ422" s="274"/>
      <c r="UGR422" s="274"/>
      <c r="UGS422" s="274"/>
      <c r="UGT422" s="274"/>
      <c r="UGU422" s="274"/>
      <c r="UGV422" s="274"/>
      <c r="UGW422" s="274"/>
      <c r="UGX422" s="274"/>
      <c r="UGY422" s="274"/>
      <c r="UGZ422" s="274"/>
      <c r="UHA422" s="274"/>
      <c r="UHB422" s="274"/>
      <c r="UHC422" s="274"/>
      <c r="UHD422" s="274"/>
      <c r="UHE422" s="274"/>
      <c r="UHF422" s="274"/>
      <c r="UHG422" s="274"/>
      <c r="UHH422" s="274"/>
      <c r="UHI422" s="274"/>
      <c r="UHJ422" s="274"/>
      <c r="UHK422" s="274"/>
      <c r="UHL422" s="274"/>
      <c r="UHM422" s="274"/>
      <c r="UHN422" s="274"/>
      <c r="UHO422" s="274"/>
      <c r="UHP422" s="274"/>
      <c r="UHQ422" s="274"/>
      <c r="UHR422" s="274"/>
      <c r="UHS422" s="274"/>
      <c r="UHT422" s="274"/>
      <c r="UHU422" s="274"/>
      <c r="UHV422" s="274"/>
      <c r="UHW422" s="274"/>
      <c r="UHX422" s="274"/>
      <c r="UHY422" s="274"/>
      <c r="UHZ422" s="274"/>
      <c r="UIA422" s="274"/>
      <c r="UIB422" s="274"/>
      <c r="UIC422" s="274"/>
      <c r="UID422" s="274"/>
      <c r="UIE422" s="274"/>
      <c r="UIF422" s="274"/>
      <c r="UIG422" s="274"/>
      <c r="UIH422" s="274"/>
      <c r="UII422" s="274"/>
      <c r="UIJ422" s="274"/>
      <c r="UIK422" s="274"/>
      <c r="UIL422" s="274"/>
      <c r="UIM422" s="274"/>
      <c r="UIN422" s="274"/>
      <c r="UIO422" s="274"/>
      <c r="UIP422" s="274"/>
      <c r="UIQ422" s="274"/>
      <c r="UIR422" s="274"/>
      <c r="UIS422" s="274"/>
      <c r="UIT422" s="274"/>
      <c r="UIU422" s="274"/>
      <c r="UIV422" s="274"/>
      <c r="UIW422" s="274"/>
      <c r="UIX422" s="274"/>
      <c r="UIY422" s="274"/>
      <c r="UIZ422" s="274"/>
      <c r="UJA422" s="274"/>
      <c r="UJB422" s="274"/>
      <c r="UJC422" s="274"/>
      <c r="UJD422" s="274"/>
      <c r="UJE422" s="274"/>
      <c r="UJF422" s="274"/>
      <c r="UJG422" s="274"/>
      <c r="UJH422" s="274"/>
      <c r="UJI422" s="274"/>
      <c r="UJJ422" s="274"/>
      <c r="UJK422" s="274"/>
      <c r="UJL422" s="274"/>
      <c r="UJM422" s="274"/>
      <c r="UJN422" s="274"/>
      <c r="UJO422" s="274"/>
      <c r="UJP422" s="274"/>
      <c r="UJQ422" s="274"/>
      <c r="UJR422" s="274"/>
      <c r="UJS422" s="274"/>
      <c r="UJT422" s="274"/>
      <c r="UJU422" s="274"/>
      <c r="UJV422" s="274"/>
      <c r="UJW422" s="274"/>
      <c r="UJX422" s="274"/>
      <c r="UJY422" s="274"/>
      <c r="UJZ422" s="274"/>
      <c r="UKA422" s="274"/>
      <c r="UKB422" s="274"/>
      <c r="UKC422" s="274"/>
      <c r="UKD422" s="274"/>
      <c r="UKE422" s="274"/>
      <c r="UKF422" s="274"/>
      <c r="UKG422" s="274"/>
      <c r="UKH422" s="274"/>
      <c r="UKI422" s="274"/>
      <c r="UKJ422" s="274"/>
      <c r="UKK422" s="274"/>
      <c r="UKL422" s="274"/>
      <c r="UKM422" s="274"/>
      <c r="UKN422" s="274"/>
      <c r="UKO422" s="274"/>
      <c r="UKP422" s="274"/>
      <c r="UKQ422" s="274"/>
      <c r="UKR422" s="274"/>
      <c r="UKS422" s="274"/>
      <c r="UKT422" s="274"/>
      <c r="UKU422" s="274"/>
      <c r="UKV422" s="274"/>
      <c r="UKW422" s="274"/>
      <c r="UKX422" s="274"/>
      <c r="UKY422" s="274"/>
      <c r="UKZ422" s="274"/>
      <c r="ULA422" s="274"/>
      <c r="ULB422" s="274"/>
      <c r="ULC422" s="274"/>
      <c r="ULD422" s="274"/>
      <c r="ULE422" s="274"/>
      <c r="ULF422" s="274"/>
      <c r="ULG422" s="274"/>
      <c r="ULH422" s="274"/>
      <c r="ULI422" s="274"/>
      <c r="ULJ422" s="274"/>
      <c r="ULK422" s="274"/>
      <c r="ULL422" s="274"/>
      <c r="ULM422" s="274"/>
      <c r="ULN422" s="274"/>
      <c r="ULO422" s="274"/>
      <c r="ULP422" s="274"/>
      <c r="ULQ422" s="274"/>
      <c r="ULR422" s="274"/>
      <c r="ULS422" s="274"/>
      <c r="ULT422" s="274"/>
      <c r="ULU422" s="274"/>
      <c r="ULV422" s="274"/>
      <c r="ULW422" s="274"/>
      <c r="ULX422" s="274"/>
      <c r="ULY422" s="274"/>
      <c r="ULZ422" s="274"/>
      <c r="UMA422" s="274"/>
      <c r="UMB422" s="274"/>
      <c r="UMC422" s="274"/>
      <c r="UMD422" s="274"/>
      <c r="UME422" s="274"/>
      <c r="UMF422" s="274"/>
      <c r="UMG422" s="274"/>
      <c r="UMH422" s="274"/>
      <c r="UMI422" s="274"/>
      <c r="UMJ422" s="274"/>
      <c r="UMK422" s="274"/>
      <c r="UML422" s="274"/>
      <c r="UMM422" s="274"/>
      <c r="UMN422" s="274"/>
      <c r="UMO422" s="274"/>
      <c r="UMP422" s="274"/>
      <c r="UMQ422" s="274"/>
      <c r="UMR422" s="274"/>
      <c r="UMS422" s="274"/>
      <c r="UMT422" s="274"/>
      <c r="UMU422" s="274"/>
      <c r="UMV422" s="274"/>
      <c r="UMW422" s="274"/>
      <c r="UMX422" s="274"/>
      <c r="UMY422" s="274"/>
      <c r="UMZ422" s="274"/>
      <c r="UNA422" s="274"/>
      <c r="UNB422" s="274"/>
      <c r="UNC422" s="274"/>
      <c r="UND422" s="274"/>
      <c r="UNE422" s="274"/>
      <c r="UNF422" s="274"/>
      <c r="UNG422" s="274"/>
      <c r="UNH422" s="274"/>
      <c r="UNI422" s="274"/>
      <c r="UNJ422" s="274"/>
      <c r="UNK422" s="274"/>
      <c r="UNL422" s="274"/>
      <c r="UNM422" s="274"/>
      <c r="UNN422" s="274"/>
      <c r="UNO422" s="274"/>
      <c r="UNP422" s="274"/>
      <c r="UNQ422" s="274"/>
      <c r="UNR422" s="274"/>
      <c r="UNS422" s="274"/>
      <c r="UNT422" s="274"/>
      <c r="UNU422" s="274"/>
      <c r="UNV422" s="274"/>
      <c r="UNW422" s="274"/>
      <c r="UNX422" s="274"/>
      <c r="UNY422" s="274"/>
      <c r="UNZ422" s="274"/>
      <c r="UOA422" s="274"/>
      <c r="UOB422" s="274"/>
      <c r="UOC422" s="274"/>
      <c r="UOD422" s="274"/>
      <c r="UOE422" s="274"/>
      <c r="UOF422" s="274"/>
      <c r="UOG422" s="274"/>
      <c r="UOH422" s="274"/>
      <c r="UOI422" s="274"/>
      <c r="UOJ422" s="274"/>
      <c r="UOK422" s="274"/>
      <c r="UOL422" s="274"/>
      <c r="UOM422" s="274"/>
      <c r="UON422" s="274"/>
      <c r="UOO422" s="274"/>
      <c r="UOP422" s="274"/>
      <c r="UOQ422" s="274"/>
      <c r="UOR422" s="274"/>
      <c r="UOS422" s="274"/>
      <c r="UOT422" s="274"/>
      <c r="UOU422" s="274"/>
      <c r="UOV422" s="274"/>
      <c r="UOW422" s="274"/>
      <c r="UOX422" s="274"/>
      <c r="UOY422" s="274"/>
      <c r="UOZ422" s="274"/>
      <c r="UPA422" s="274"/>
      <c r="UPB422" s="274"/>
      <c r="UPC422" s="274"/>
      <c r="UPD422" s="274"/>
      <c r="UPE422" s="274"/>
      <c r="UPF422" s="274"/>
      <c r="UPG422" s="274"/>
      <c r="UPH422" s="274"/>
      <c r="UPI422" s="274"/>
      <c r="UPJ422" s="274"/>
      <c r="UPK422" s="274"/>
      <c r="UPL422" s="274"/>
      <c r="UPM422" s="274"/>
      <c r="UPN422" s="274"/>
      <c r="UPO422" s="274"/>
      <c r="UPP422" s="274"/>
      <c r="UPQ422" s="274"/>
      <c r="UPR422" s="274"/>
      <c r="UPS422" s="274"/>
      <c r="UPT422" s="274"/>
      <c r="UPU422" s="274"/>
      <c r="UPV422" s="274"/>
      <c r="UPW422" s="274"/>
      <c r="UPX422" s="274"/>
      <c r="UPY422" s="274"/>
      <c r="UPZ422" s="274"/>
      <c r="UQA422" s="274"/>
      <c r="UQB422" s="274"/>
      <c r="UQC422" s="274"/>
      <c r="UQD422" s="274"/>
      <c r="UQE422" s="274"/>
      <c r="UQF422" s="274"/>
      <c r="UQG422" s="274"/>
      <c r="UQH422" s="274"/>
      <c r="UQI422" s="274"/>
      <c r="UQJ422" s="274"/>
      <c r="UQK422" s="274"/>
      <c r="UQL422" s="274"/>
      <c r="UQM422" s="274"/>
      <c r="UQN422" s="274"/>
      <c r="UQO422" s="274"/>
      <c r="UQP422" s="274"/>
      <c r="UQQ422" s="274"/>
      <c r="UQR422" s="274"/>
      <c r="UQS422" s="274"/>
      <c r="UQT422" s="274"/>
      <c r="UQU422" s="274"/>
      <c r="UQV422" s="274"/>
      <c r="UQW422" s="274"/>
      <c r="UQX422" s="274"/>
      <c r="UQY422" s="274"/>
      <c r="UQZ422" s="274"/>
      <c r="URA422" s="274"/>
      <c r="URB422" s="274"/>
      <c r="URC422" s="274"/>
      <c r="URD422" s="274"/>
      <c r="URE422" s="274"/>
      <c r="URF422" s="274"/>
      <c r="URG422" s="274"/>
      <c r="URH422" s="274"/>
      <c r="URI422" s="274"/>
      <c r="URJ422" s="274"/>
      <c r="URK422" s="274"/>
      <c r="URL422" s="274"/>
      <c r="URM422" s="274"/>
      <c r="URN422" s="274"/>
      <c r="URO422" s="274"/>
      <c r="URP422" s="274"/>
      <c r="URQ422" s="274"/>
      <c r="URR422" s="274"/>
      <c r="URS422" s="274"/>
      <c r="URT422" s="274"/>
      <c r="URU422" s="274"/>
      <c r="URV422" s="274"/>
      <c r="URW422" s="274"/>
      <c r="URX422" s="274"/>
      <c r="URY422" s="274"/>
      <c r="URZ422" s="274"/>
      <c r="USA422" s="274"/>
      <c r="USB422" s="274"/>
      <c r="USC422" s="274"/>
      <c r="USD422" s="274"/>
      <c r="USE422" s="274"/>
      <c r="USF422" s="274"/>
      <c r="USG422" s="274"/>
      <c r="USH422" s="274"/>
      <c r="USI422" s="274"/>
      <c r="USJ422" s="274"/>
      <c r="USK422" s="274"/>
      <c r="USL422" s="274"/>
      <c r="USM422" s="274"/>
      <c r="USN422" s="274"/>
      <c r="USO422" s="274"/>
      <c r="USP422" s="274"/>
      <c r="USQ422" s="274"/>
      <c r="USR422" s="274"/>
      <c r="USS422" s="274"/>
      <c r="UST422" s="274"/>
      <c r="USU422" s="274"/>
      <c r="USV422" s="274"/>
      <c r="USW422" s="274"/>
      <c r="USX422" s="274"/>
      <c r="USY422" s="274"/>
      <c r="USZ422" s="274"/>
      <c r="UTA422" s="274"/>
      <c r="UTB422" s="274"/>
      <c r="UTC422" s="274"/>
      <c r="UTD422" s="274"/>
      <c r="UTE422" s="274"/>
      <c r="UTF422" s="274"/>
      <c r="UTG422" s="274"/>
      <c r="UTH422" s="274"/>
      <c r="UTI422" s="274"/>
      <c r="UTJ422" s="274"/>
      <c r="UTK422" s="274"/>
      <c r="UTL422" s="274"/>
      <c r="UTM422" s="274"/>
      <c r="UTN422" s="274"/>
      <c r="UTO422" s="274"/>
      <c r="UTP422" s="274"/>
      <c r="UTQ422" s="274"/>
      <c r="UTR422" s="274"/>
      <c r="UTS422" s="274"/>
      <c r="UTT422" s="274"/>
      <c r="UTU422" s="274"/>
      <c r="UTV422" s="274"/>
      <c r="UTW422" s="274"/>
      <c r="UTX422" s="274"/>
      <c r="UTY422" s="274"/>
      <c r="UTZ422" s="274"/>
      <c r="UUA422" s="274"/>
      <c r="UUB422" s="274"/>
      <c r="UUC422" s="274"/>
      <c r="UUD422" s="274"/>
      <c r="UUE422" s="274"/>
      <c r="UUF422" s="274"/>
      <c r="UUG422" s="274"/>
      <c r="UUH422" s="274"/>
      <c r="UUI422" s="274"/>
      <c r="UUJ422" s="274"/>
      <c r="UUK422" s="274"/>
      <c r="UUL422" s="274"/>
      <c r="UUM422" s="274"/>
      <c r="UUN422" s="274"/>
      <c r="UUO422" s="274"/>
      <c r="UUP422" s="274"/>
      <c r="UUQ422" s="274"/>
      <c r="UUR422" s="274"/>
      <c r="UUS422" s="274"/>
      <c r="UUT422" s="274"/>
      <c r="UUU422" s="274"/>
      <c r="UUV422" s="274"/>
      <c r="UUW422" s="274"/>
      <c r="UUX422" s="274"/>
      <c r="UUY422" s="274"/>
      <c r="UUZ422" s="274"/>
      <c r="UVA422" s="274"/>
      <c r="UVB422" s="274"/>
      <c r="UVC422" s="274"/>
      <c r="UVD422" s="274"/>
      <c r="UVE422" s="274"/>
      <c r="UVF422" s="274"/>
      <c r="UVG422" s="274"/>
      <c r="UVH422" s="274"/>
      <c r="UVI422" s="274"/>
      <c r="UVJ422" s="274"/>
      <c r="UVK422" s="274"/>
      <c r="UVL422" s="274"/>
      <c r="UVM422" s="274"/>
      <c r="UVN422" s="274"/>
      <c r="UVO422" s="274"/>
      <c r="UVP422" s="274"/>
      <c r="UVQ422" s="274"/>
      <c r="UVR422" s="274"/>
      <c r="UVS422" s="274"/>
      <c r="UVT422" s="274"/>
      <c r="UVU422" s="274"/>
      <c r="UVV422" s="274"/>
      <c r="UVW422" s="274"/>
      <c r="UVX422" s="274"/>
      <c r="UVY422" s="274"/>
      <c r="UVZ422" s="274"/>
      <c r="UWA422" s="274"/>
      <c r="UWB422" s="274"/>
      <c r="UWC422" s="274"/>
      <c r="UWD422" s="274"/>
      <c r="UWE422" s="274"/>
      <c r="UWF422" s="274"/>
      <c r="UWG422" s="274"/>
      <c r="UWH422" s="274"/>
      <c r="UWI422" s="274"/>
      <c r="UWJ422" s="274"/>
      <c r="UWK422" s="274"/>
      <c r="UWL422" s="274"/>
      <c r="UWM422" s="274"/>
      <c r="UWN422" s="274"/>
      <c r="UWO422" s="274"/>
      <c r="UWP422" s="274"/>
      <c r="UWQ422" s="274"/>
      <c r="UWR422" s="274"/>
      <c r="UWS422" s="274"/>
      <c r="UWT422" s="274"/>
      <c r="UWU422" s="274"/>
      <c r="UWV422" s="274"/>
      <c r="UWW422" s="274"/>
      <c r="UWX422" s="274"/>
      <c r="UWY422" s="274"/>
      <c r="UWZ422" s="274"/>
      <c r="UXA422" s="274"/>
      <c r="UXB422" s="274"/>
      <c r="UXC422" s="274"/>
      <c r="UXD422" s="274"/>
      <c r="UXE422" s="274"/>
      <c r="UXF422" s="274"/>
      <c r="UXG422" s="274"/>
      <c r="UXH422" s="274"/>
      <c r="UXI422" s="274"/>
      <c r="UXJ422" s="274"/>
      <c r="UXK422" s="274"/>
      <c r="UXL422" s="274"/>
      <c r="UXM422" s="274"/>
      <c r="UXN422" s="274"/>
      <c r="UXO422" s="274"/>
      <c r="UXP422" s="274"/>
      <c r="UXQ422" s="274"/>
      <c r="UXR422" s="274"/>
      <c r="UXS422" s="274"/>
      <c r="UXT422" s="274"/>
      <c r="UXU422" s="274"/>
      <c r="UXV422" s="274"/>
      <c r="UXW422" s="274"/>
      <c r="UXX422" s="274"/>
      <c r="UXY422" s="274"/>
      <c r="UXZ422" s="274"/>
      <c r="UYA422" s="274"/>
      <c r="UYB422" s="274"/>
      <c r="UYC422" s="274"/>
      <c r="UYD422" s="274"/>
      <c r="UYE422" s="274"/>
      <c r="UYF422" s="274"/>
      <c r="UYG422" s="274"/>
      <c r="UYH422" s="274"/>
      <c r="UYI422" s="274"/>
      <c r="UYJ422" s="274"/>
      <c r="UYK422" s="274"/>
      <c r="UYL422" s="274"/>
      <c r="UYM422" s="274"/>
      <c r="UYN422" s="274"/>
      <c r="UYO422" s="274"/>
      <c r="UYP422" s="274"/>
      <c r="UYQ422" s="274"/>
      <c r="UYR422" s="274"/>
      <c r="UYS422" s="274"/>
      <c r="UYT422" s="274"/>
      <c r="UYU422" s="274"/>
      <c r="UYV422" s="274"/>
      <c r="UYW422" s="274"/>
      <c r="UYX422" s="274"/>
      <c r="UYY422" s="274"/>
      <c r="UYZ422" s="274"/>
      <c r="UZA422" s="274"/>
      <c r="UZB422" s="274"/>
      <c r="UZC422" s="274"/>
      <c r="UZD422" s="274"/>
      <c r="UZE422" s="274"/>
      <c r="UZF422" s="274"/>
      <c r="UZG422" s="274"/>
      <c r="UZH422" s="274"/>
      <c r="UZI422" s="274"/>
      <c r="UZJ422" s="274"/>
      <c r="UZK422" s="274"/>
      <c r="UZL422" s="274"/>
      <c r="UZM422" s="274"/>
      <c r="UZN422" s="274"/>
      <c r="UZO422" s="274"/>
      <c r="UZP422" s="274"/>
      <c r="UZQ422" s="274"/>
      <c r="UZR422" s="274"/>
      <c r="UZS422" s="274"/>
      <c r="UZT422" s="274"/>
      <c r="UZU422" s="274"/>
      <c r="UZV422" s="274"/>
      <c r="UZW422" s="274"/>
      <c r="UZX422" s="274"/>
      <c r="UZY422" s="274"/>
      <c r="UZZ422" s="274"/>
      <c r="VAA422" s="274"/>
      <c r="VAB422" s="274"/>
      <c r="VAC422" s="274"/>
      <c r="VAD422" s="274"/>
      <c r="VAE422" s="274"/>
      <c r="VAF422" s="274"/>
      <c r="VAG422" s="274"/>
      <c r="VAH422" s="274"/>
      <c r="VAI422" s="274"/>
      <c r="VAJ422" s="274"/>
      <c r="VAK422" s="274"/>
      <c r="VAL422" s="274"/>
      <c r="VAM422" s="274"/>
      <c r="VAN422" s="274"/>
      <c r="VAO422" s="274"/>
      <c r="VAP422" s="274"/>
      <c r="VAQ422" s="274"/>
      <c r="VAR422" s="274"/>
      <c r="VAS422" s="274"/>
      <c r="VAT422" s="274"/>
      <c r="VAU422" s="274"/>
      <c r="VAV422" s="274"/>
      <c r="VAW422" s="274"/>
      <c r="VAX422" s="274"/>
      <c r="VAY422" s="274"/>
      <c r="VAZ422" s="274"/>
      <c r="VBA422" s="274"/>
      <c r="VBB422" s="274"/>
      <c r="VBC422" s="274"/>
      <c r="VBD422" s="274"/>
      <c r="VBE422" s="274"/>
      <c r="VBF422" s="274"/>
      <c r="VBG422" s="274"/>
      <c r="VBH422" s="274"/>
      <c r="VBI422" s="274"/>
      <c r="VBJ422" s="274"/>
      <c r="VBK422" s="274"/>
      <c r="VBL422" s="274"/>
      <c r="VBM422" s="274"/>
      <c r="VBN422" s="274"/>
      <c r="VBO422" s="274"/>
      <c r="VBP422" s="274"/>
      <c r="VBQ422" s="274"/>
      <c r="VBR422" s="274"/>
      <c r="VBS422" s="274"/>
      <c r="VBT422" s="274"/>
      <c r="VBU422" s="274"/>
      <c r="VBV422" s="274"/>
      <c r="VBW422" s="274"/>
      <c r="VBX422" s="274"/>
      <c r="VBY422" s="274"/>
      <c r="VBZ422" s="274"/>
      <c r="VCA422" s="274"/>
      <c r="VCB422" s="274"/>
      <c r="VCC422" s="274"/>
      <c r="VCD422" s="274"/>
      <c r="VCE422" s="274"/>
      <c r="VCF422" s="274"/>
      <c r="VCG422" s="274"/>
      <c r="VCH422" s="274"/>
      <c r="VCI422" s="274"/>
      <c r="VCJ422" s="274"/>
      <c r="VCK422" s="274"/>
      <c r="VCL422" s="274"/>
      <c r="VCM422" s="274"/>
      <c r="VCN422" s="274"/>
      <c r="VCO422" s="274"/>
      <c r="VCP422" s="274"/>
      <c r="VCQ422" s="274"/>
      <c r="VCR422" s="274"/>
      <c r="VCS422" s="274"/>
      <c r="VCT422" s="274"/>
      <c r="VCU422" s="274"/>
      <c r="VCV422" s="274"/>
      <c r="VCW422" s="274"/>
      <c r="VCX422" s="274"/>
      <c r="VCY422" s="274"/>
      <c r="VCZ422" s="274"/>
      <c r="VDA422" s="274"/>
      <c r="VDB422" s="274"/>
      <c r="VDC422" s="274"/>
      <c r="VDD422" s="274"/>
      <c r="VDE422" s="274"/>
      <c r="VDF422" s="274"/>
      <c r="VDG422" s="274"/>
      <c r="VDH422" s="274"/>
      <c r="VDI422" s="274"/>
      <c r="VDJ422" s="274"/>
      <c r="VDK422" s="274"/>
      <c r="VDL422" s="274"/>
      <c r="VDM422" s="274"/>
      <c r="VDN422" s="274"/>
      <c r="VDO422" s="274"/>
      <c r="VDP422" s="274"/>
      <c r="VDQ422" s="274"/>
      <c r="VDR422" s="274"/>
      <c r="VDS422" s="274"/>
      <c r="VDT422" s="274"/>
      <c r="VDU422" s="274"/>
      <c r="VDV422" s="274"/>
      <c r="VDW422" s="274"/>
      <c r="VDX422" s="274"/>
      <c r="VDY422" s="274"/>
      <c r="VDZ422" s="274"/>
      <c r="VEA422" s="274"/>
      <c r="VEB422" s="274"/>
      <c r="VEC422" s="274"/>
      <c r="VED422" s="274"/>
      <c r="VEE422" s="274"/>
      <c r="VEF422" s="274"/>
      <c r="VEG422" s="274"/>
      <c r="VEH422" s="274"/>
      <c r="VEI422" s="274"/>
      <c r="VEJ422" s="274"/>
      <c r="VEK422" s="274"/>
      <c r="VEL422" s="274"/>
      <c r="VEM422" s="274"/>
      <c r="VEN422" s="274"/>
      <c r="VEO422" s="274"/>
      <c r="VEP422" s="274"/>
      <c r="VEQ422" s="274"/>
      <c r="VER422" s="274"/>
      <c r="VES422" s="274"/>
      <c r="VET422" s="274"/>
      <c r="VEU422" s="274"/>
      <c r="VEV422" s="274"/>
      <c r="VEW422" s="274"/>
      <c r="VEX422" s="274"/>
      <c r="VEY422" s="274"/>
      <c r="VEZ422" s="274"/>
      <c r="VFA422" s="274"/>
      <c r="VFB422" s="274"/>
      <c r="VFC422" s="274"/>
      <c r="VFD422" s="274"/>
      <c r="VFE422" s="274"/>
      <c r="VFF422" s="274"/>
      <c r="VFG422" s="274"/>
      <c r="VFH422" s="274"/>
      <c r="VFI422" s="274"/>
      <c r="VFJ422" s="274"/>
      <c r="VFK422" s="274"/>
      <c r="VFL422" s="274"/>
      <c r="VFM422" s="274"/>
      <c r="VFN422" s="274"/>
      <c r="VFO422" s="274"/>
      <c r="VFP422" s="274"/>
      <c r="VFQ422" s="274"/>
      <c r="VFR422" s="274"/>
      <c r="VFS422" s="274"/>
      <c r="VFT422" s="274"/>
      <c r="VFU422" s="274"/>
      <c r="VFV422" s="274"/>
      <c r="VFW422" s="274"/>
      <c r="VFX422" s="274"/>
      <c r="VFY422" s="274"/>
      <c r="VFZ422" s="274"/>
      <c r="VGA422" s="274"/>
      <c r="VGB422" s="274"/>
      <c r="VGC422" s="274"/>
      <c r="VGD422" s="274"/>
      <c r="VGE422" s="274"/>
      <c r="VGF422" s="274"/>
      <c r="VGG422" s="274"/>
      <c r="VGH422" s="274"/>
      <c r="VGI422" s="274"/>
      <c r="VGJ422" s="274"/>
      <c r="VGK422" s="274"/>
      <c r="VGL422" s="274"/>
      <c r="VGM422" s="274"/>
      <c r="VGN422" s="274"/>
      <c r="VGO422" s="274"/>
      <c r="VGP422" s="274"/>
      <c r="VGQ422" s="274"/>
      <c r="VGR422" s="274"/>
      <c r="VGS422" s="274"/>
      <c r="VGT422" s="274"/>
      <c r="VGU422" s="274"/>
      <c r="VGV422" s="274"/>
      <c r="VGW422" s="274"/>
      <c r="VGX422" s="274"/>
      <c r="VGY422" s="274"/>
      <c r="VGZ422" s="274"/>
      <c r="VHA422" s="274"/>
      <c r="VHB422" s="274"/>
      <c r="VHC422" s="274"/>
      <c r="VHD422" s="274"/>
      <c r="VHE422" s="274"/>
      <c r="VHF422" s="274"/>
      <c r="VHG422" s="274"/>
      <c r="VHH422" s="274"/>
      <c r="VHI422" s="274"/>
      <c r="VHJ422" s="274"/>
      <c r="VHK422" s="274"/>
      <c r="VHL422" s="274"/>
      <c r="VHM422" s="274"/>
      <c r="VHN422" s="274"/>
      <c r="VHO422" s="274"/>
      <c r="VHP422" s="274"/>
      <c r="VHQ422" s="274"/>
      <c r="VHR422" s="274"/>
      <c r="VHS422" s="274"/>
      <c r="VHT422" s="274"/>
      <c r="VHU422" s="274"/>
      <c r="VHV422" s="274"/>
      <c r="VHW422" s="274"/>
      <c r="VHX422" s="274"/>
      <c r="VHY422" s="274"/>
      <c r="VHZ422" s="274"/>
      <c r="VIA422" s="274"/>
      <c r="VIB422" s="274"/>
      <c r="VIC422" s="274"/>
      <c r="VID422" s="274"/>
      <c r="VIE422" s="274"/>
      <c r="VIF422" s="274"/>
      <c r="VIG422" s="274"/>
      <c r="VIH422" s="274"/>
      <c r="VII422" s="274"/>
      <c r="VIJ422" s="274"/>
      <c r="VIK422" s="274"/>
      <c r="VIL422" s="274"/>
      <c r="VIM422" s="274"/>
      <c r="VIN422" s="274"/>
      <c r="VIO422" s="274"/>
      <c r="VIP422" s="274"/>
      <c r="VIQ422" s="274"/>
      <c r="VIR422" s="274"/>
      <c r="VIS422" s="274"/>
      <c r="VIT422" s="274"/>
      <c r="VIU422" s="274"/>
      <c r="VIV422" s="274"/>
      <c r="VIW422" s="274"/>
      <c r="VIX422" s="274"/>
      <c r="VIY422" s="274"/>
      <c r="VIZ422" s="274"/>
      <c r="VJA422" s="274"/>
      <c r="VJB422" s="274"/>
      <c r="VJC422" s="274"/>
      <c r="VJD422" s="274"/>
      <c r="VJE422" s="274"/>
      <c r="VJF422" s="274"/>
      <c r="VJG422" s="274"/>
      <c r="VJH422" s="274"/>
      <c r="VJI422" s="274"/>
      <c r="VJJ422" s="274"/>
      <c r="VJK422" s="274"/>
      <c r="VJL422" s="274"/>
      <c r="VJM422" s="274"/>
      <c r="VJN422" s="274"/>
      <c r="VJO422" s="274"/>
      <c r="VJP422" s="274"/>
      <c r="VJQ422" s="274"/>
      <c r="VJR422" s="274"/>
      <c r="VJS422" s="274"/>
      <c r="VJT422" s="274"/>
      <c r="VJU422" s="274"/>
      <c r="VJV422" s="274"/>
      <c r="VJW422" s="274"/>
      <c r="VJX422" s="274"/>
      <c r="VJY422" s="274"/>
      <c r="VJZ422" s="274"/>
      <c r="VKA422" s="274"/>
      <c r="VKB422" s="274"/>
      <c r="VKC422" s="274"/>
      <c r="VKD422" s="274"/>
      <c r="VKE422" s="274"/>
      <c r="VKF422" s="274"/>
      <c r="VKG422" s="274"/>
      <c r="VKH422" s="274"/>
      <c r="VKI422" s="274"/>
      <c r="VKJ422" s="274"/>
      <c r="VKK422" s="274"/>
      <c r="VKL422" s="274"/>
      <c r="VKM422" s="274"/>
      <c r="VKN422" s="274"/>
      <c r="VKO422" s="274"/>
      <c r="VKP422" s="274"/>
      <c r="VKQ422" s="274"/>
      <c r="VKR422" s="274"/>
      <c r="VKS422" s="274"/>
      <c r="VKT422" s="274"/>
      <c r="VKU422" s="274"/>
      <c r="VKV422" s="274"/>
      <c r="VKW422" s="274"/>
      <c r="VKX422" s="274"/>
      <c r="VKY422" s="274"/>
      <c r="VKZ422" s="274"/>
      <c r="VLA422" s="274"/>
      <c r="VLB422" s="274"/>
      <c r="VLC422" s="274"/>
      <c r="VLD422" s="274"/>
      <c r="VLE422" s="274"/>
      <c r="VLF422" s="274"/>
      <c r="VLG422" s="274"/>
      <c r="VLH422" s="274"/>
      <c r="VLI422" s="274"/>
      <c r="VLJ422" s="274"/>
      <c r="VLK422" s="274"/>
      <c r="VLL422" s="274"/>
      <c r="VLM422" s="274"/>
      <c r="VLN422" s="274"/>
      <c r="VLO422" s="274"/>
      <c r="VLP422" s="274"/>
      <c r="VLQ422" s="274"/>
      <c r="VLR422" s="274"/>
      <c r="VLS422" s="274"/>
      <c r="VLT422" s="274"/>
      <c r="VLU422" s="274"/>
      <c r="VLV422" s="274"/>
      <c r="VLW422" s="274"/>
      <c r="VLX422" s="274"/>
      <c r="VLY422" s="274"/>
      <c r="VLZ422" s="274"/>
      <c r="VMA422" s="274"/>
      <c r="VMB422" s="274"/>
      <c r="VMC422" s="274"/>
      <c r="VMD422" s="274"/>
      <c r="VME422" s="274"/>
      <c r="VMF422" s="274"/>
      <c r="VMG422" s="274"/>
      <c r="VMH422" s="274"/>
      <c r="VMI422" s="274"/>
      <c r="VMJ422" s="274"/>
      <c r="VMK422" s="274"/>
      <c r="VML422" s="274"/>
      <c r="VMM422" s="274"/>
      <c r="VMN422" s="274"/>
      <c r="VMO422" s="274"/>
      <c r="VMP422" s="274"/>
      <c r="VMQ422" s="274"/>
      <c r="VMR422" s="274"/>
      <c r="VMS422" s="274"/>
      <c r="VMT422" s="274"/>
      <c r="VMU422" s="274"/>
      <c r="VMV422" s="274"/>
      <c r="VMW422" s="274"/>
      <c r="VMX422" s="274"/>
      <c r="VMY422" s="274"/>
      <c r="VMZ422" s="274"/>
      <c r="VNA422" s="274"/>
      <c r="VNB422" s="274"/>
      <c r="VNC422" s="274"/>
      <c r="VND422" s="274"/>
      <c r="VNE422" s="274"/>
      <c r="VNF422" s="274"/>
      <c r="VNG422" s="274"/>
      <c r="VNH422" s="274"/>
      <c r="VNI422" s="274"/>
      <c r="VNJ422" s="274"/>
      <c r="VNK422" s="274"/>
      <c r="VNL422" s="274"/>
      <c r="VNM422" s="274"/>
      <c r="VNN422" s="274"/>
      <c r="VNO422" s="274"/>
      <c r="VNP422" s="274"/>
      <c r="VNQ422" s="274"/>
      <c r="VNR422" s="274"/>
      <c r="VNS422" s="274"/>
      <c r="VNT422" s="274"/>
      <c r="VNU422" s="274"/>
      <c r="VNV422" s="274"/>
      <c r="VNW422" s="274"/>
      <c r="VNX422" s="274"/>
      <c r="VNY422" s="274"/>
      <c r="VNZ422" s="274"/>
      <c r="VOA422" s="274"/>
      <c r="VOB422" s="274"/>
      <c r="VOC422" s="274"/>
      <c r="VOD422" s="274"/>
      <c r="VOE422" s="274"/>
      <c r="VOF422" s="274"/>
      <c r="VOG422" s="274"/>
      <c r="VOH422" s="274"/>
      <c r="VOI422" s="274"/>
      <c r="VOJ422" s="274"/>
      <c r="VOK422" s="274"/>
      <c r="VOL422" s="274"/>
      <c r="VOM422" s="274"/>
      <c r="VON422" s="274"/>
      <c r="VOO422" s="274"/>
      <c r="VOP422" s="274"/>
      <c r="VOQ422" s="274"/>
      <c r="VOR422" s="274"/>
      <c r="VOS422" s="274"/>
      <c r="VOT422" s="274"/>
      <c r="VOU422" s="274"/>
      <c r="VOV422" s="274"/>
      <c r="VOW422" s="274"/>
      <c r="VOX422" s="274"/>
      <c r="VOY422" s="274"/>
      <c r="VOZ422" s="274"/>
      <c r="VPA422" s="274"/>
      <c r="VPB422" s="274"/>
      <c r="VPC422" s="274"/>
      <c r="VPD422" s="274"/>
      <c r="VPE422" s="274"/>
      <c r="VPF422" s="274"/>
      <c r="VPG422" s="274"/>
      <c r="VPH422" s="274"/>
      <c r="VPI422" s="274"/>
      <c r="VPJ422" s="274"/>
      <c r="VPK422" s="274"/>
      <c r="VPL422" s="274"/>
      <c r="VPM422" s="274"/>
      <c r="VPN422" s="274"/>
      <c r="VPO422" s="274"/>
      <c r="VPP422" s="274"/>
      <c r="VPQ422" s="274"/>
      <c r="VPR422" s="274"/>
      <c r="VPS422" s="274"/>
      <c r="VPT422" s="274"/>
      <c r="VPU422" s="274"/>
      <c r="VPV422" s="274"/>
      <c r="VPW422" s="274"/>
      <c r="VPX422" s="274"/>
      <c r="VPY422" s="274"/>
      <c r="VPZ422" s="274"/>
      <c r="VQA422" s="274"/>
      <c r="VQB422" s="274"/>
      <c r="VQC422" s="274"/>
      <c r="VQD422" s="274"/>
      <c r="VQE422" s="274"/>
      <c r="VQF422" s="274"/>
      <c r="VQG422" s="274"/>
      <c r="VQH422" s="274"/>
      <c r="VQI422" s="274"/>
      <c r="VQJ422" s="274"/>
      <c r="VQK422" s="274"/>
      <c r="VQL422" s="274"/>
      <c r="VQM422" s="274"/>
      <c r="VQN422" s="274"/>
      <c r="VQO422" s="274"/>
      <c r="VQP422" s="274"/>
      <c r="VQQ422" s="274"/>
      <c r="VQR422" s="274"/>
      <c r="VQS422" s="274"/>
      <c r="VQT422" s="274"/>
      <c r="VQU422" s="274"/>
      <c r="VQV422" s="274"/>
      <c r="VQW422" s="274"/>
      <c r="VQX422" s="274"/>
      <c r="VQY422" s="274"/>
      <c r="VQZ422" s="274"/>
      <c r="VRA422" s="274"/>
      <c r="VRB422" s="274"/>
      <c r="VRC422" s="274"/>
      <c r="VRD422" s="274"/>
      <c r="VRE422" s="274"/>
      <c r="VRF422" s="274"/>
      <c r="VRG422" s="274"/>
      <c r="VRH422" s="274"/>
      <c r="VRI422" s="274"/>
      <c r="VRJ422" s="274"/>
      <c r="VRK422" s="274"/>
      <c r="VRL422" s="274"/>
      <c r="VRM422" s="274"/>
      <c r="VRN422" s="274"/>
      <c r="VRO422" s="274"/>
      <c r="VRP422" s="274"/>
      <c r="VRQ422" s="274"/>
      <c r="VRR422" s="274"/>
      <c r="VRS422" s="274"/>
      <c r="VRT422" s="274"/>
      <c r="VRU422" s="274"/>
      <c r="VRV422" s="274"/>
      <c r="VRW422" s="274"/>
      <c r="VRX422" s="274"/>
      <c r="VRY422" s="274"/>
      <c r="VRZ422" s="274"/>
      <c r="VSA422" s="274"/>
      <c r="VSB422" s="274"/>
      <c r="VSC422" s="274"/>
      <c r="VSD422" s="274"/>
      <c r="VSE422" s="274"/>
      <c r="VSF422" s="274"/>
      <c r="VSG422" s="274"/>
      <c r="VSH422" s="274"/>
      <c r="VSI422" s="274"/>
      <c r="VSJ422" s="274"/>
      <c r="VSK422" s="274"/>
      <c r="VSL422" s="274"/>
      <c r="VSM422" s="274"/>
      <c r="VSN422" s="274"/>
      <c r="VSO422" s="274"/>
      <c r="VSP422" s="274"/>
      <c r="VSQ422" s="274"/>
      <c r="VSR422" s="274"/>
      <c r="VSS422" s="274"/>
      <c r="VST422" s="274"/>
      <c r="VSU422" s="274"/>
      <c r="VSV422" s="274"/>
      <c r="VSW422" s="274"/>
      <c r="VSX422" s="274"/>
      <c r="VSY422" s="274"/>
      <c r="VSZ422" s="274"/>
      <c r="VTA422" s="274"/>
      <c r="VTB422" s="274"/>
      <c r="VTC422" s="274"/>
      <c r="VTD422" s="274"/>
      <c r="VTE422" s="274"/>
      <c r="VTF422" s="274"/>
      <c r="VTG422" s="274"/>
      <c r="VTH422" s="274"/>
      <c r="VTI422" s="274"/>
      <c r="VTJ422" s="274"/>
      <c r="VTK422" s="274"/>
      <c r="VTL422" s="274"/>
      <c r="VTM422" s="274"/>
      <c r="VTN422" s="274"/>
      <c r="VTO422" s="274"/>
      <c r="VTP422" s="274"/>
      <c r="VTQ422" s="274"/>
      <c r="VTR422" s="274"/>
      <c r="VTS422" s="274"/>
      <c r="VTT422" s="274"/>
      <c r="VTU422" s="274"/>
      <c r="VTV422" s="274"/>
      <c r="VTW422" s="274"/>
      <c r="VTX422" s="274"/>
      <c r="VTY422" s="274"/>
      <c r="VTZ422" s="274"/>
      <c r="VUA422" s="274"/>
      <c r="VUB422" s="274"/>
      <c r="VUC422" s="274"/>
      <c r="VUD422" s="274"/>
      <c r="VUE422" s="274"/>
      <c r="VUF422" s="274"/>
      <c r="VUG422" s="274"/>
      <c r="VUH422" s="274"/>
      <c r="VUI422" s="274"/>
      <c r="VUJ422" s="274"/>
      <c r="VUK422" s="274"/>
      <c r="VUL422" s="274"/>
      <c r="VUM422" s="274"/>
      <c r="VUN422" s="274"/>
      <c r="VUO422" s="274"/>
      <c r="VUP422" s="274"/>
      <c r="VUQ422" s="274"/>
      <c r="VUR422" s="274"/>
      <c r="VUS422" s="274"/>
      <c r="VUT422" s="274"/>
      <c r="VUU422" s="274"/>
      <c r="VUV422" s="274"/>
      <c r="VUW422" s="274"/>
      <c r="VUX422" s="274"/>
      <c r="VUY422" s="274"/>
      <c r="VUZ422" s="274"/>
      <c r="VVA422" s="274"/>
      <c r="VVB422" s="274"/>
      <c r="VVC422" s="274"/>
      <c r="VVD422" s="274"/>
      <c r="VVE422" s="274"/>
      <c r="VVF422" s="274"/>
      <c r="VVG422" s="274"/>
      <c r="VVH422" s="274"/>
      <c r="VVI422" s="274"/>
      <c r="VVJ422" s="274"/>
      <c r="VVK422" s="274"/>
      <c r="VVL422" s="274"/>
      <c r="VVM422" s="274"/>
      <c r="VVN422" s="274"/>
      <c r="VVO422" s="274"/>
      <c r="VVP422" s="274"/>
      <c r="VVQ422" s="274"/>
      <c r="VVR422" s="274"/>
      <c r="VVS422" s="274"/>
      <c r="VVT422" s="274"/>
      <c r="VVU422" s="274"/>
      <c r="VVV422" s="274"/>
      <c r="VVW422" s="274"/>
      <c r="VVX422" s="274"/>
      <c r="VVY422" s="274"/>
      <c r="VVZ422" s="274"/>
      <c r="VWA422" s="274"/>
      <c r="VWB422" s="274"/>
      <c r="VWC422" s="274"/>
      <c r="VWD422" s="274"/>
      <c r="VWE422" s="274"/>
      <c r="VWF422" s="274"/>
      <c r="VWG422" s="274"/>
      <c r="VWH422" s="274"/>
      <c r="VWI422" s="274"/>
      <c r="VWJ422" s="274"/>
      <c r="VWK422" s="274"/>
      <c r="VWL422" s="274"/>
      <c r="VWM422" s="274"/>
      <c r="VWN422" s="274"/>
      <c r="VWO422" s="274"/>
      <c r="VWP422" s="274"/>
      <c r="VWQ422" s="274"/>
      <c r="VWR422" s="274"/>
      <c r="VWS422" s="274"/>
      <c r="VWT422" s="274"/>
      <c r="VWU422" s="274"/>
      <c r="VWV422" s="274"/>
      <c r="VWW422" s="274"/>
      <c r="VWX422" s="274"/>
      <c r="VWY422" s="274"/>
      <c r="VWZ422" s="274"/>
      <c r="VXA422" s="274"/>
      <c r="VXB422" s="274"/>
      <c r="VXC422" s="274"/>
      <c r="VXD422" s="274"/>
      <c r="VXE422" s="274"/>
      <c r="VXF422" s="274"/>
      <c r="VXG422" s="274"/>
      <c r="VXH422" s="274"/>
      <c r="VXI422" s="274"/>
      <c r="VXJ422" s="274"/>
      <c r="VXK422" s="274"/>
      <c r="VXL422" s="274"/>
      <c r="VXM422" s="274"/>
      <c r="VXN422" s="274"/>
      <c r="VXO422" s="274"/>
      <c r="VXP422" s="274"/>
      <c r="VXQ422" s="274"/>
      <c r="VXR422" s="274"/>
      <c r="VXS422" s="274"/>
      <c r="VXT422" s="274"/>
      <c r="VXU422" s="274"/>
      <c r="VXV422" s="274"/>
      <c r="VXW422" s="274"/>
      <c r="VXX422" s="274"/>
      <c r="VXY422" s="274"/>
      <c r="VXZ422" s="274"/>
      <c r="VYA422" s="274"/>
      <c r="VYB422" s="274"/>
      <c r="VYC422" s="274"/>
      <c r="VYD422" s="274"/>
      <c r="VYE422" s="274"/>
      <c r="VYF422" s="274"/>
      <c r="VYG422" s="274"/>
      <c r="VYH422" s="274"/>
      <c r="VYI422" s="274"/>
      <c r="VYJ422" s="274"/>
      <c r="VYK422" s="274"/>
      <c r="VYL422" s="274"/>
      <c r="VYM422" s="274"/>
      <c r="VYN422" s="274"/>
      <c r="VYO422" s="274"/>
      <c r="VYP422" s="274"/>
      <c r="VYQ422" s="274"/>
      <c r="VYR422" s="274"/>
      <c r="VYS422" s="274"/>
      <c r="VYT422" s="274"/>
      <c r="VYU422" s="274"/>
      <c r="VYV422" s="274"/>
      <c r="VYW422" s="274"/>
      <c r="VYX422" s="274"/>
      <c r="VYY422" s="274"/>
      <c r="VYZ422" s="274"/>
      <c r="VZA422" s="274"/>
      <c r="VZB422" s="274"/>
      <c r="VZC422" s="274"/>
      <c r="VZD422" s="274"/>
      <c r="VZE422" s="274"/>
      <c r="VZF422" s="274"/>
      <c r="VZG422" s="274"/>
      <c r="VZH422" s="274"/>
      <c r="VZI422" s="274"/>
      <c r="VZJ422" s="274"/>
      <c r="VZK422" s="274"/>
      <c r="VZL422" s="274"/>
      <c r="VZM422" s="274"/>
      <c r="VZN422" s="274"/>
      <c r="VZO422" s="274"/>
      <c r="VZP422" s="274"/>
      <c r="VZQ422" s="274"/>
      <c r="VZR422" s="274"/>
      <c r="VZS422" s="274"/>
      <c r="VZT422" s="274"/>
      <c r="VZU422" s="274"/>
      <c r="VZV422" s="274"/>
      <c r="VZW422" s="274"/>
      <c r="VZX422" s="274"/>
      <c r="VZY422" s="274"/>
      <c r="VZZ422" s="274"/>
      <c r="WAA422" s="274"/>
      <c r="WAB422" s="274"/>
      <c r="WAC422" s="274"/>
      <c r="WAD422" s="274"/>
      <c r="WAE422" s="274"/>
      <c r="WAF422" s="274"/>
      <c r="WAG422" s="274"/>
      <c r="WAH422" s="274"/>
      <c r="WAI422" s="274"/>
      <c r="WAJ422" s="274"/>
      <c r="WAK422" s="274"/>
      <c r="WAL422" s="274"/>
      <c r="WAM422" s="274"/>
      <c r="WAN422" s="274"/>
      <c r="WAO422" s="274"/>
      <c r="WAP422" s="274"/>
      <c r="WAQ422" s="274"/>
      <c r="WAR422" s="274"/>
      <c r="WAS422" s="274"/>
      <c r="WAT422" s="274"/>
      <c r="WAU422" s="274"/>
      <c r="WAV422" s="274"/>
      <c r="WAW422" s="274"/>
      <c r="WAX422" s="274"/>
      <c r="WAY422" s="274"/>
      <c r="WAZ422" s="274"/>
      <c r="WBA422" s="274"/>
      <c r="WBB422" s="274"/>
      <c r="WBC422" s="274"/>
      <c r="WBD422" s="274"/>
      <c r="WBE422" s="274"/>
      <c r="WBF422" s="274"/>
      <c r="WBG422" s="274"/>
      <c r="WBH422" s="274"/>
      <c r="WBI422" s="274"/>
      <c r="WBJ422" s="274"/>
      <c r="WBK422" s="274"/>
      <c r="WBL422" s="274"/>
      <c r="WBM422" s="274"/>
      <c r="WBN422" s="274"/>
      <c r="WBO422" s="274"/>
      <c r="WBP422" s="274"/>
      <c r="WBQ422" s="274"/>
      <c r="WBR422" s="274"/>
      <c r="WBS422" s="274"/>
      <c r="WBT422" s="274"/>
      <c r="WBU422" s="274"/>
      <c r="WBV422" s="274"/>
      <c r="WBW422" s="274"/>
      <c r="WBX422" s="274"/>
      <c r="WBY422" s="274"/>
      <c r="WBZ422" s="274"/>
      <c r="WCA422" s="274"/>
      <c r="WCB422" s="274"/>
      <c r="WCC422" s="274"/>
      <c r="WCD422" s="274"/>
      <c r="WCE422" s="274"/>
      <c r="WCF422" s="274"/>
      <c r="WCG422" s="274"/>
      <c r="WCH422" s="274"/>
      <c r="WCI422" s="274"/>
      <c r="WCJ422" s="274"/>
      <c r="WCK422" s="274"/>
      <c r="WCL422" s="274"/>
      <c r="WCM422" s="274"/>
      <c r="WCN422" s="274"/>
      <c r="WCO422" s="274"/>
      <c r="WCP422" s="274"/>
      <c r="WCQ422" s="274"/>
      <c r="WCR422" s="274"/>
      <c r="WCS422" s="274"/>
      <c r="WCT422" s="274"/>
      <c r="WCU422" s="274"/>
      <c r="WCV422" s="274"/>
      <c r="WCW422" s="274"/>
      <c r="WCX422" s="274"/>
      <c r="WCY422" s="274"/>
      <c r="WCZ422" s="274"/>
      <c r="WDA422" s="274"/>
      <c r="WDB422" s="274"/>
      <c r="WDC422" s="274"/>
      <c r="WDD422" s="274"/>
      <c r="WDE422" s="274"/>
      <c r="WDF422" s="274"/>
      <c r="WDG422" s="274"/>
      <c r="WDH422" s="274"/>
      <c r="WDI422" s="274"/>
      <c r="WDJ422" s="274"/>
      <c r="WDK422" s="274"/>
      <c r="WDL422" s="274"/>
      <c r="WDM422" s="274"/>
      <c r="WDN422" s="274"/>
      <c r="WDO422" s="274"/>
      <c r="WDP422" s="274"/>
      <c r="WDQ422" s="274"/>
      <c r="WDR422" s="274"/>
      <c r="WDS422" s="274"/>
      <c r="WDT422" s="274"/>
      <c r="WDU422" s="274"/>
      <c r="WDV422" s="274"/>
      <c r="WDW422" s="274"/>
      <c r="WDX422" s="274"/>
      <c r="WDY422" s="274"/>
      <c r="WDZ422" s="274"/>
      <c r="WEA422" s="274"/>
      <c r="WEB422" s="274"/>
      <c r="WEC422" s="274"/>
      <c r="WED422" s="274"/>
      <c r="WEE422" s="274"/>
      <c r="WEF422" s="274"/>
      <c r="WEG422" s="274"/>
      <c r="WEH422" s="274"/>
      <c r="WEI422" s="274"/>
      <c r="WEJ422" s="274"/>
      <c r="WEK422" s="274"/>
      <c r="WEL422" s="274"/>
      <c r="WEM422" s="274"/>
      <c r="WEN422" s="274"/>
      <c r="WEO422" s="274"/>
      <c r="WEP422" s="274"/>
      <c r="WEQ422" s="274"/>
      <c r="WER422" s="274"/>
      <c r="WES422" s="274"/>
      <c r="WET422" s="274"/>
      <c r="WEU422" s="274"/>
      <c r="WEV422" s="274"/>
      <c r="WEW422" s="274"/>
      <c r="WEX422" s="274"/>
      <c r="WEY422" s="274"/>
      <c r="WEZ422" s="274"/>
      <c r="WFA422" s="274"/>
      <c r="WFB422" s="274"/>
      <c r="WFC422" s="274"/>
      <c r="WFD422" s="274"/>
      <c r="WFE422" s="274"/>
      <c r="WFF422" s="274"/>
      <c r="WFG422" s="274"/>
      <c r="WFH422" s="274"/>
      <c r="WFI422" s="274"/>
      <c r="WFJ422" s="274"/>
      <c r="WFK422" s="274"/>
      <c r="WFL422" s="274"/>
      <c r="WFM422" s="274"/>
      <c r="WFN422" s="274"/>
      <c r="WFO422" s="274"/>
      <c r="WFP422" s="274"/>
      <c r="WFQ422" s="274"/>
      <c r="WFR422" s="274"/>
      <c r="WFS422" s="274"/>
      <c r="WFT422" s="274"/>
      <c r="WFU422" s="274"/>
      <c r="WFV422" s="274"/>
      <c r="WFW422" s="274"/>
      <c r="WFX422" s="274"/>
      <c r="WFY422" s="274"/>
      <c r="WFZ422" s="274"/>
      <c r="WGA422" s="274"/>
      <c r="WGB422" s="274"/>
      <c r="WGC422" s="274"/>
      <c r="WGD422" s="274"/>
      <c r="WGE422" s="274"/>
      <c r="WGF422" s="274"/>
      <c r="WGG422" s="274"/>
      <c r="WGH422" s="274"/>
      <c r="WGI422" s="274"/>
      <c r="WGJ422" s="274"/>
      <c r="WGK422" s="274"/>
      <c r="WGL422" s="274"/>
      <c r="WGM422" s="274"/>
      <c r="WGN422" s="274"/>
      <c r="WGO422" s="274"/>
      <c r="WGP422" s="274"/>
      <c r="WGQ422" s="274"/>
      <c r="WGR422" s="274"/>
      <c r="WGS422" s="274"/>
      <c r="WGT422" s="274"/>
      <c r="WGU422" s="274"/>
      <c r="WGV422" s="274"/>
      <c r="WGW422" s="274"/>
      <c r="WGX422" s="274"/>
      <c r="WGY422" s="274"/>
      <c r="WGZ422" s="274"/>
      <c r="WHA422" s="274"/>
      <c r="WHB422" s="274"/>
      <c r="WHC422" s="274"/>
      <c r="WHD422" s="274"/>
      <c r="WHE422" s="274"/>
      <c r="WHF422" s="274"/>
      <c r="WHG422" s="274"/>
      <c r="WHH422" s="274"/>
      <c r="WHI422" s="274"/>
      <c r="WHJ422" s="274"/>
      <c r="WHK422" s="274"/>
      <c r="WHL422" s="274"/>
      <c r="WHM422" s="274"/>
      <c r="WHN422" s="274"/>
      <c r="WHO422" s="274"/>
      <c r="WHP422" s="274"/>
      <c r="WHQ422" s="274"/>
      <c r="WHR422" s="274"/>
      <c r="WHS422" s="274"/>
      <c r="WHT422" s="274"/>
      <c r="WHU422" s="274"/>
      <c r="WHV422" s="274"/>
      <c r="WHW422" s="274"/>
      <c r="WHX422" s="274"/>
      <c r="WHY422" s="274"/>
      <c r="WHZ422" s="274"/>
      <c r="WIA422" s="274"/>
      <c r="WIB422" s="274"/>
      <c r="WIC422" s="274"/>
      <c r="WID422" s="274"/>
      <c r="WIE422" s="274"/>
      <c r="WIF422" s="274"/>
      <c r="WIG422" s="274"/>
      <c r="WIH422" s="274"/>
      <c r="WII422" s="274"/>
      <c r="WIJ422" s="274"/>
      <c r="WIK422" s="274"/>
      <c r="WIL422" s="274"/>
      <c r="WIM422" s="274"/>
      <c r="WIN422" s="274"/>
      <c r="WIO422" s="274"/>
      <c r="WIP422" s="274"/>
      <c r="WIQ422" s="274"/>
      <c r="WIR422" s="274"/>
      <c r="WIS422" s="274"/>
      <c r="WIT422" s="274"/>
      <c r="WIU422" s="274"/>
      <c r="WIV422" s="274"/>
      <c r="WIW422" s="274"/>
      <c r="WIX422" s="274"/>
      <c r="WIY422" s="274"/>
      <c r="WIZ422" s="274"/>
      <c r="WJA422" s="274"/>
      <c r="WJB422" s="274"/>
      <c r="WJC422" s="274"/>
      <c r="WJD422" s="274"/>
      <c r="WJE422" s="274"/>
      <c r="WJF422" s="274"/>
      <c r="WJG422" s="274"/>
      <c r="WJH422" s="274"/>
      <c r="WJI422" s="274"/>
      <c r="WJJ422" s="274"/>
      <c r="WJK422" s="274"/>
      <c r="WJL422" s="274"/>
      <c r="WJM422" s="274"/>
      <c r="WJN422" s="274"/>
      <c r="WJO422" s="274"/>
      <c r="WJP422" s="274"/>
      <c r="WJQ422" s="274"/>
      <c r="WJR422" s="274"/>
      <c r="WJS422" s="274"/>
      <c r="WJT422" s="274"/>
      <c r="WJU422" s="274"/>
      <c r="WJV422" s="274"/>
      <c r="WJW422" s="274"/>
      <c r="WJX422" s="274"/>
      <c r="WJY422" s="274"/>
      <c r="WJZ422" s="274"/>
      <c r="WKA422" s="274"/>
      <c r="WKB422" s="274"/>
      <c r="WKC422" s="274"/>
      <c r="WKD422" s="274"/>
      <c r="WKE422" s="274"/>
      <c r="WKF422" s="274"/>
      <c r="WKG422" s="274"/>
      <c r="WKH422" s="274"/>
      <c r="WKI422" s="274"/>
      <c r="WKJ422" s="274"/>
      <c r="WKK422" s="274"/>
      <c r="WKL422" s="274"/>
      <c r="WKM422" s="274"/>
      <c r="WKN422" s="274"/>
      <c r="WKO422" s="274"/>
      <c r="WKP422" s="274"/>
      <c r="WKQ422" s="274"/>
      <c r="WKR422" s="274"/>
      <c r="WKS422" s="274"/>
      <c r="WKT422" s="274"/>
      <c r="WKU422" s="274"/>
      <c r="WKV422" s="274"/>
      <c r="WKW422" s="274"/>
      <c r="WKX422" s="274"/>
      <c r="WKY422" s="274"/>
      <c r="WKZ422" s="274"/>
      <c r="WLA422" s="274"/>
      <c r="WLB422" s="274"/>
      <c r="WLC422" s="274"/>
      <c r="WLD422" s="274"/>
      <c r="WLE422" s="274"/>
      <c r="WLF422" s="274"/>
      <c r="WLG422" s="274"/>
      <c r="WLH422" s="274"/>
      <c r="WLI422" s="274"/>
      <c r="WLJ422" s="274"/>
      <c r="WLK422" s="274"/>
      <c r="WLL422" s="274"/>
      <c r="WLM422" s="274"/>
      <c r="WLN422" s="274"/>
      <c r="WLO422" s="274"/>
      <c r="WLP422" s="274"/>
      <c r="WLQ422" s="274"/>
      <c r="WLR422" s="274"/>
      <c r="WLS422" s="274"/>
      <c r="WLT422" s="274"/>
      <c r="WLU422" s="274"/>
      <c r="WLV422" s="274"/>
      <c r="WLW422" s="274"/>
      <c r="WLX422" s="274"/>
      <c r="WLY422" s="274"/>
      <c r="WLZ422" s="274"/>
      <c r="WMA422" s="274"/>
      <c r="WMB422" s="274"/>
      <c r="WMC422" s="274"/>
      <c r="WMD422" s="274"/>
      <c r="WME422" s="274"/>
      <c r="WMF422" s="274"/>
      <c r="WMG422" s="274"/>
      <c r="WMH422" s="274"/>
      <c r="WMI422" s="274"/>
      <c r="WMJ422" s="274"/>
      <c r="WMK422" s="274"/>
      <c r="WML422" s="274"/>
      <c r="WMM422" s="274"/>
      <c r="WMN422" s="274"/>
      <c r="WMO422" s="274"/>
      <c r="WMP422" s="274"/>
      <c r="WMQ422" s="274"/>
      <c r="WMR422" s="274"/>
      <c r="WMS422" s="274"/>
      <c r="WMT422" s="274"/>
      <c r="WMU422" s="274"/>
      <c r="WMV422" s="274"/>
      <c r="WMW422" s="274"/>
      <c r="WMX422" s="274"/>
      <c r="WMY422" s="274"/>
      <c r="WMZ422" s="274"/>
      <c r="WNA422" s="274"/>
      <c r="WNB422" s="274"/>
      <c r="WNC422" s="274"/>
      <c r="WND422" s="274"/>
      <c r="WNE422" s="274"/>
      <c r="WNF422" s="274"/>
      <c r="WNG422" s="274"/>
      <c r="WNH422" s="274"/>
      <c r="WNI422" s="274"/>
      <c r="WNJ422" s="274"/>
      <c r="WNK422" s="274"/>
      <c r="WNL422" s="274"/>
      <c r="WNM422" s="274"/>
      <c r="WNN422" s="274"/>
      <c r="WNO422" s="274"/>
      <c r="WNP422" s="274"/>
      <c r="WNQ422" s="274"/>
      <c r="WNR422" s="274"/>
      <c r="WNS422" s="274"/>
      <c r="WNT422" s="274"/>
      <c r="WNU422" s="274"/>
      <c r="WNV422" s="274"/>
      <c r="WNW422" s="274"/>
      <c r="WNX422" s="274"/>
      <c r="WNY422" s="274"/>
      <c r="WNZ422" s="274"/>
      <c r="WOA422" s="274"/>
      <c r="WOB422" s="274"/>
      <c r="WOC422" s="274"/>
      <c r="WOD422" s="274"/>
      <c r="WOE422" s="274"/>
      <c r="WOF422" s="274"/>
      <c r="WOG422" s="274"/>
      <c r="WOH422" s="274"/>
      <c r="WOI422" s="274"/>
      <c r="WOJ422" s="274"/>
      <c r="WOK422" s="274"/>
      <c r="WOL422" s="274"/>
      <c r="WOM422" s="274"/>
      <c r="WON422" s="274"/>
      <c r="WOO422" s="274"/>
      <c r="WOP422" s="274"/>
      <c r="WOQ422" s="274"/>
      <c r="WOR422" s="274"/>
      <c r="WOS422" s="274"/>
      <c r="WOT422" s="274"/>
      <c r="WOU422" s="274"/>
      <c r="WOV422" s="274"/>
      <c r="WOW422" s="274"/>
      <c r="WOX422" s="274"/>
      <c r="WOY422" s="274"/>
      <c r="WOZ422" s="274"/>
      <c r="WPA422" s="274"/>
      <c r="WPB422" s="274"/>
      <c r="WPC422" s="274"/>
      <c r="WPD422" s="274"/>
      <c r="WPE422" s="274"/>
      <c r="WPF422" s="274"/>
      <c r="WPG422" s="274"/>
      <c r="WPH422" s="274"/>
      <c r="WPI422" s="274"/>
      <c r="WPJ422" s="274"/>
      <c r="WPK422" s="274"/>
      <c r="WPL422" s="274"/>
      <c r="WPM422" s="274"/>
      <c r="WPN422" s="274"/>
      <c r="WPO422" s="274"/>
      <c r="WPP422" s="274"/>
      <c r="WPQ422" s="274"/>
      <c r="WPR422" s="274"/>
      <c r="WPS422" s="274"/>
      <c r="WPT422" s="274"/>
      <c r="WPU422" s="274"/>
      <c r="WPV422" s="274"/>
      <c r="WPW422" s="274"/>
      <c r="WPX422" s="274"/>
      <c r="WPY422" s="274"/>
      <c r="WPZ422" s="274"/>
      <c r="WQA422" s="274"/>
      <c r="WQB422" s="274"/>
      <c r="WQC422" s="274"/>
      <c r="WQD422" s="274"/>
      <c r="WQE422" s="274"/>
      <c r="WQF422" s="274"/>
      <c r="WQG422" s="274"/>
      <c r="WQH422" s="274"/>
      <c r="WQI422" s="274"/>
      <c r="WQJ422" s="274"/>
      <c r="WQK422" s="274"/>
      <c r="WQL422" s="274"/>
      <c r="WQM422" s="274"/>
      <c r="WQN422" s="274"/>
      <c r="WQO422" s="274"/>
      <c r="WQP422" s="274"/>
      <c r="WQQ422" s="274"/>
      <c r="WQR422" s="274"/>
      <c r="WQS422" s="274"/>
      <c r="WQT422" s="274"/>
      <c r="WQU422" s="274"/>
      <c r="WQV422" s="274"/>
      <c r="WQW422" s="274"/>
      <c r="WQX422" s="274"/>
      <c r="WQY422" s="274"/>
      <c r="WQZ422" s="274"/>
      <c r="WRA422" s="274"/>
      <c r="WRB422" s="274"/>
      <c r="WRC422" s="274"/>
      <c r="WRD422" s="274"/>
      <c r="WRE422" s="274"/>
      <c r="WRF422" s="274"/>
      <c r="WRG422" s="274"/>
      <c r="WRH422" s="274"/>
      <c r="WRI422" s="274"/>
      <c r="WRJ422" s="274"/>
      <c r="WRK422" s="274"/>
      <c r="WRL422" s="274"/>
      <c r="WRM422" s="274"/>
      <c r="WRN422" s="274"/>
      <c r="WRO422" s="274"/>
      <c r="WRP422" s="274"/>
      <c r="WRQ422" s="274"/>
      <c r="WRR422" s="274"/>
      <c r="WRS422" s="274"/>
      <c r="WRT422" s="274"/>
      <c r="WRU422" s="274"/>
      <c r="WRV422" s="274"/>
      <c r="WRW422" s="274"/>
      <c r="WRX422" s="274"/>
      <c r="WRY422" s="274"/>
      <c r="WRZ422" s="274"/>
      <c r="WSA422" s="274"/>
      <c r="WSB422" s="274"/>
      <c r="WSC422" s="274"/>
      <c r="WSD422" s="274"/>
      <c r="WSE422" s="274"/>
      <c r="WSF422" s="274"/>
      <c r="WSG422" s="274"/>
      <c r="WSH422" s="274"/>
      <c r="WSI422" s="274"/>
      <c r="WSJ422" s="274"/>
      <c r="WSK422" s="274"/>
      <c r="WSL422" s="274"/>
      <c r="WSM422" s="274"/>
      <c r="WSN422" s="274"/>
      <c r="WSO422" s="274"/>
      <c r="WSP422" s="274"/>
      <c r="WSQ422" s="274"/>
      <c r="WSR422" s="274"/>
      <c r="WSS422" s="274"/>
      <c r="WST422" s="274"/>
      <c r="WSU422" s="274"/>
      <c r="WSV422" s="274"/>
      <c r="WSW422" s="274"/>
      <c r="WSX422" s="274"/>
      <c r="WSY422" s="274"/>
      <c r="WSZ422" s="274"/>
      <c r="WTA422" s="274"/>
      <c r="WTB422" s="274"/>
      <c r="WTC422" s="274"/>
      <c r="WTD422" s="274"/>
      <c r="WTE422" s="274"/>
      <c r="WTF422" s="274"/>
      <c r="WTG422" s="274"/>
      <c r="WTH422" s="274"/>
      <c r="WTI422" s="274"/>
      <c r="WTJ422" s="274"/>
      <c r="WTK422" s="274"/>
      <c r="WTL422" s="274"/>
      <c r="WTM422" s="274"/>
      <c r="WTN422" s="274"/>
      <c r="WTO422" s="274"/>
      <c r="WTP422" s="274"/>
      <c r="WTQ422" s="274"/>
      <c r="WTR422" s="274"/>
      <c r="WTS422" s="274"/>
      <c r="WTT422" s="274"/>
      <c r="WTU422" s="274"/>
      <c r="WTV422" s="274"/>
      <c r="WTW422" s="274"/>
      <c r="WTX422" s="274"/>
      <c r="WTY422" s="274"/>
      <c r="WTZ422" s="274"/>
      <c r="WUA422" s="274"/>
      <c r="WUB422" s="274"/>
      <c r="WUC422" s="274"/>
      <c r="WUD422" s="274"/>
      <c r="WUE422" s="274"/>
      <c r="WUF422" s="274"/>
      <c r="WUG422" s="274"/>
      <c r="WUH422" s="274"/>
      <c r="WUI422" s="274"/>
      <c r="WUJ422" s="274"/>
      <c r="WUK422" s="274"/>
      <c r="WUL422" s="274"/>
      <c r="WUM422" s="274"/>
      <c r="WUN422" s="274"/>
      <c r="WUO422" s="274"/>
      <c r="WUP422" s="274"/>
      <c r="WUQ422" s="274"/>
      <c r="WUR422" s="274"/>
      <c r="WUS422" s="274"/>
      <c r="WUT422" s="274"/>
      <c r="WUU422" s="274"/>
      <c r="WUV422" s="274"/>
      <c r="WUW422" s="274"/>
      <c r="WUX422" s="274"/>
      <c r="WUY422" s="274"/>
      <c r="WUZ422" s="274"/>
      <c r="WVA422" s="274"/>
      <c r="WVB422" s="274"/>
      <c r="WVC422" s="274"/>
      <c r="WVD422" s="274"/>
      <c r="WVE422" s="274"/>
      <c r="WVF422" s="274"/>
      <c r="WVG422" s="274"/>
      <c r="WVH422" s="274"/>
      <c r="WVI422" s="274"/>
      <c r="WVJ422" s="274"/>
      <c r="WVK422" s="274"/>
      <c r="WVL422" s="274"/>
      <c r="WVM422" s="274"/>
      <c r="WVN422" s="274"/>
      <c r="WVO422" s="274"/>
      <c r="WVP422" s="274"/>
      <c r="WVQ422" s="274"/>
      <c r="WVR422" s="274"/>
      <c r="WVS422" s="274"/>
      <c r="WVT422" s="274"/>
      <c r="WVU422" s="274"/>
      <c r="WVV422" s="274"/>
      <c r="WVW422" s="274"/>
      <c r="WVX422" s="274"/>
      <c r="WVY422" s="274"/>
      <c r="WVZ422" s="274"/>
      <c r="WWA422" s="274"/>
      <c r="WWB422" s="274"/>
      <c r="WWC422" s="274"/>
      <c r="WWD422" s="274"/>
      <c r="WWE422" s="274"/>
      <c r="WWF422" s="274"/>
      <c r="WWG422" s="274"/>
      <c r="WWH422" s="274"/>
      <c r="WWI422" s="274"/>
      <c r="WWJ422" s="274"/>
      <c r="WWK422" s="274"/>
      <c r="WWL422" s="274"/>
      <c r="WWM422" s="274"/>
      <c r="WWN422" s="274"/>
      <c r="WWO422" s="274"/>
      <c r="WWP422" s="274"/>
      <c r="WWQ422" s="274"/>
      <c r="WWR422" s="274"/>
      <c r="WWS422" s="274"/>
      <c r="WWT422" s="274"/>
      <c r="WWU422" s="274"/>
      <c r="WWV422" s="274"/>
      <c r="WWW422" s="274"/>
      <c r="WWX422" s="274"/>
      <c r="WWY422" s="274"/>
      <c r="WWZ422" s="274"/>
      <c r="WXA422" s="274"/>
      <c r="WXB422" s="274"/>
      <c r="WXC422" s="274"/>
      <c r="WXD422" s="274"/>
      <c r="WXE422" s="274"/>
      <c r="WXF422" s="274"/>
      <c r="WXG422" s="274"/>
      <c r="WXH422" s="274"/>
      <c r="WXI422" s="274"/>
      <c r="WXJ422" s="274"/>
      <c r="WXK422" s="274"/>
      <c r="WXL422" s="274"/>
      <c r="WXM422" s="274"/>
      <c r="WXN422" s="274"/>
      <c r="WXO422" s="274"/>
      <c r="WXP422" s="274"/>
      <c r="WXQ422" s="274"/>
      <c r="WXR422" s="274"/>
      <c r="WXS422" s="274"/>
      <c r="WXT422" s="274"/>
      <c r="WXU422" s="274"/>
      <c r="WXV422" s="274"/>
      <c r="WXW422" s="274"/>
      <c r="WXX422" s="274"/>
      <c r="WXY422" s="274"/>
      <c r="WXZ422" s="274"/>
      <c r="WYA422" s="274"/>
      <c r="WYB422" s="274"/>
      <c r="WYC422" s="274"/>
      <c r="WYD422" s="274"/>
      <c r="WYE422" s="274"/>
      <c r="WYF422" s="274"/>
      <c r="WYG422" s="274"/>
      <c r="WYH422" s="274"/>
      <c r="WYI422" s="274"/>
      <c r="WYJ422" s="274"/>
      <c r="WYK422" s="274"/>
      <c r="WYL422" s="274"/>
      <c r="WYM422" s="274"/>
      <c r="WYN422" s="274"/>
      <c r="WYO422" s="274"/>
      <c r="WYP422" s="274"/>
      <c r="WYQ422" s="274"/>
      <c r="WYR422" s="274"/>
      <c r="WYS422" s="274"/>
      <c r="WYT422" s="274"/>
      <c r="WYU422" s="274"/>
      <c r="WYV422" s="274"/>
      <c r="WYW422" s="274"/>
      <c r="WYX422" s="274"/>
      <c r="WYY422" s="274"/>
      <c r="WYZ422" s="274"/>
      <c r="WZA422" s="274"/>
      <c r="WZB422" s="274"/>
      <c r="WZC422" s="274"/>
      <c r="WZD422" s="274"/>
      <c r="WZE422" s="274"/>
      <c r="WZF422" s="274"/>
      <c r="WZG422" s="274"/>
      <c r="WZH422" s="274"/>
      <c r="WZI422" s="274"/>
      <c r="WZJ422" s="274"/>
      <c r="WZK422" s="274"/>
      <c r="WZL422" s="274"/>
      <c r="WZM422" s="274"/>
      <c r="WZN422" s="274"/>
      <c r="WZO422" s="274"/>
      <c r="WZP422" s="274"/>
      <c r="WZQ422" s="274"/>
      <c r="WZR422" s="274"/>
      <c r="WZS422" s="274"/>
      <c r="WZT422" s="274"/>
      <c r="WZU422" s="274"/>
      <c r="WZV422" s="274"/>
      <c r="WZW422" s="274"/>
      <c r="WZX422" s="274"/>
      <c r="WZY422" s="274"/>
      <c r="WZZ422" s="274"/>
      <c r="XAA422" s="274"/>
      <c r="XAB422" s="274"/>
      <c r="XAC422" s="274"/>
      <c r="XAD422" s="274"/>
      <c r="XAE422" s="274"/>
      <c r="XAF422" s="274"/>
      <c r="XAG422" s="274"/>
      <c r="XAH422" s="274"/>
      <c r="XAI422" s="274"/>
      <c r="XAJ422" s="274"/>
      <c r="XAK422" s="274"/>
      <c r="XAL422" s="274"/>
      <c r="XAM422" s="274"/>
      <c r="XAN422" s="274"/>
      <c r="XAO422" s="274"/>
      <c r="XAP422" s="274"/>
      <c r="XAQ422" s="274"/>
      <c r="XAR422" s="274"/>
      <c r="XAS422" s="274"/>
      <c r="XAT422" s="274"/>
      <c r="XAU422" s="274"/>
      <c r="XAV422" s="274"/>
      <c r="XAW422" s="274"/>
      <c r="XAX422" s="274"/>
      <c r="XAY422" s="274"/>
      <c r="XAZ422" s="274"/>
      <c r="XBA422" s="274"/>
      <c r="XBB422" s="274"/>
      <c r="XBC422" s="274"/>
      <c r="XBD422" s="274"/>
      <c r="XBE422" s="274"/>
      <c r="XBF422" s="274"/>
      <c r="XBG422" s="274"/>
      <c r="XBH422" s="274"/>
      <c r="XBI422" s="274"/>
      <c r="XBJ422" s="274"/>
      <c r="XBK422" s="274"/>
      <c r="XBL422" s="274"/>
      <c r="XBM422" s="274"/>
      <c r="XBN422" s="274"/>
      <c r="XBO422" s="274"/>
      <c r="XBP422" s="274"/>
      <c r="XBQ422" s="274"/>
      <c r="XBR422" s="274"/>
      <c r="XBS422" s="274"/>
      <c r="XBT422" s="274"/>
      <c r="XBU422" s="274"/>
      <c r="XBV422" s="274"/>
      <c r="XBW422" s="274"/>
      <c r="XBX422" s="274"/>
      <c r="XBY422" s="274"/>
      <c r="XBZ422" s="274"/>
      <c r="XCA422" s="274"/>
      <c r="XCB422" s="274"/>
      <c r="XCC422" s="274"/>
      <c r="XCD422" s="274"/>
      <c r="XCE422" s="274"/>
      <c r="XCF422" s="274"/>
      <c r="XCG422" s="274"/>
      <c r="XCH422" s="274"/>
      <c r="XCI422" s="274"/>
      <c r="XCJ422" s="274"/>
      <c r="XCK422" s="274"/>
      <c r="XCL422" s="274"/>
      <c r="XCM422" s="274"/>
      <c r="XCN422" s="274"/>
      <c r="XCO422" s="274"/>
      <c r="XCP422" s="274"/>
      <c r="XCQ422" s="274"/>
      <c r="XCR422" s="274"/>
      <c r="XCS422" s="274"/>
      <c r="XCT422" s="274"/>
      <c r="XCU422" s="274"/>
      <c r="XCV422" s="274"/>
      <c r="XCW422" s="274"/>
      <c r="XCX422" s="274"/>
      <c r="XCY422" s="274"/>
      <c r="XCZ422" s="274"/>
      <c r="XDA422" s="274"/>
      <c r="XDB422" s="274"/>
      <c r="XDC422" s="274"/>
      <c r="XDD422" s="274"/>
      <c r="XDE422" s="274"/>
      <c r="XDF422" s="274"/>
      <c r="XDG422" s="274"/>
      <c r="XDH422" s="274"/>
      <c r="XDI422" s="274"/>
      <c r="XDJ422" s="274"/>
      <c r="XDK422" s="274"/>
      <c r="XDL422" s="274"/>
      <c r="XDM422" s="274"/>
      <c r="XDN422" s="274"/>
      <c r="XDO422" s="274"/>
      <c r="XDP422" s="274"/>
      <c r="XDQ422" s="274"/>
      <c r="XDR422" s="274"/>
      <c r="XDS422" s="274"/>
      <c r="XDT422" s="274"/>
      <c r="XDU422" s="274"/>
      <c r="XDV422" s="274"/>
      <c r="XDW422" s="274"/>
      <c r="XDX422" s="274"/>
      <c r="XDY422" s="274"/>
      <c r="XDZ422" s="274"/>
      <c r="XEA422" s="274"/>
      <c r="XEB422" s="274"/>
      <c r="XEC422" s="274"/>
      <c r="XED422" s="274"/>
      <c r="XEE422" s="274"/>
      <c r="XEF422" s="274"/>
      <c r="XEG422" s="274"/>
      <c r="XEH422" s="274"/>
      <c r="XEI422" s="274"/>
      <c r="XEJ422" s="274"/>
      <c r="XEK422" s="274"/>
      <c r="XEL422" s="274"/>
      <c r="XEM422" s="274"/>
      <c r="XEN422" s="274"/>
      <c r="XEO422" s="274"/>
      <c r="XEP422" s="274"/>
      <c r="XEQ422" s="274"/>
      <c r="XER422" s="274"/>
      <c r="XES422" s="274"/>
      <c r="XET422" s="274"/>
      <c r="XEU422" s="274"/>
      <c r="XEV422" s="274"/>
      <c r="XEW422" s="274"/>
      <c r="XEX422" s="274"/>
      <c r="XEY422" s="274"/>
      <c r="XEZ422" s="274"/>
      <c r="XFA422" s="274"/>
    </row>
    <row r="423" spans="1:16381" s="276" customFormat="1">
      <c r="A423" s="263"/>
      <c r="B423" s="381" t="s">
        <v>591</v>
      </c>
      <c r="C423" s="382" t="s">
        <v>708</v>
      </c>
      <c r="D423" s="383" t="str">
        <f>COMPOSIÇÕES!B115</f>
        <v>FDE - 07/2023</v>
      </c>
      <c r="E423" s="344" t="s">
        <v>651</v>
      </c>
      <c r="F423" s="382" t="s">
        <v>541</v>
      </c>
      <c r="G423" s="316">
        <v>100</v>
      </c>
      <c r="H423" s="290">
        <f>COMPOSIÇÕES!$G$116</f>
        <v>5.116260162601626</v>
      </c>
      <c r="I423" s="287">
        <f>COMPOSIÇÕES!$J$115</f>
        <v>6.1139308943089432</v>
      </c>
      <c r="J423" s="384">
        <f>G423*I423</f>
        <v>611.39308943089429</v>
      </c>
    </row>
    <row r="424" spans="1:16381" s="263" customFormat="1">
      <c r="B424" s="577" t="s">
        <v>592</v>
      </c>
      <c r="C424" s="578"/>
      <c r="D424" s="578"/>
      <c r="E424" s="578"/>
      <c r="F424" s="578"/>
      <c r="G424" s="578"/>
      <c r="H424" s="578"/>
      <c r="I424" s="578"/>
      <c r="J424" s="296">
        <f>J423</f>
        <v>611.39308943089429</v>
      </c>
    </row>
    <row r="425" spans="1:16381" s="261" customFormat="1" ht="25.5" customHeight="1" thickBot="1">
      <c r="B425" s="564" t="s">
        <v>588</v>
      </c>
      <c r="C425" s="565"/>
      <c r="D425" s="565"/>
      <c r="E425" s="565"/>
      <c r="F425" s="565"/>
      <c r="G425" s="565"/>
      <c r="H425" s="565"/>
      <c r="I425" s="566"/>
      <c r="J425" s="297">
        <f>J370+J392+J421+J424</f>
        <v>206996.4608255222</v>
      </c>
    </row>
    <row r="426" spans="1:16381" s="147" customFormat="1">
      <c r="B426" s="264" t="s">
        <v>9</v>
      </c>
      <c r="C426" s="265"/>
      <c r="D426" s="534"/>
      <c r="E426" s="266" t="s">
        <v>538</v>
      </c>
      <c r="F426" s="265"/>
      <c r="G426" s="310"/>
      <c r="H426" s="298"/>
      <c r="I426" s="283"/>
      <c r="J426" s="292"/>
    </row>
    <row r="427" spans="1:16381" s="147" customFormat="1" ht="6" customHeight="1">
      <c r="B427" s="234"/>
      <c r="C427" s="235"/>
      <c r="D427" s="532"/>
      <c r="E427" s="236"/>
      <c r="F427" s="235"/>
      <c r="G427" s="311"/>
      <c r="H427" s="299"/>
      <c r="I427" s="284"/>
      <c r="J427" s="293"/>
    </row>
    <row r="428" spans="1:16381" s="261" customFormat="1">
      <c r="B428" s="237" t="s">
        <v>20</v>
      </c>
      <c r="C428" s="238"/>
      <c r="D428" s="533"/>
      <c r="E428" s="239" t="s">
        <v>483</v>
      </c>
      <c r="F428" s="238"/>
      <c r="G428" s="312"/>
      <c r="H428" s="300"/>
      <c r="I428" s="285"/>
      <c r="J428" s="294"/>
    </row>
    <row r="429" spans="1:16381" s="150" customFormat="1">
      <c r="B429" s="381" t="s">
        <v>435</v>
      </c>
      <c r="C429" s="382" t="s">
        <v>699</v>
      </c>
      <c r="D429" s="317" t="str">
        <f t="shared" ref="D429:D430" si="40">D368</f>
        <v>FDE - 07/2023</v>
      </c>
      <c r="E429" s="344" t="s">
        <v>698</v>
      </c>
      <c r="F429" s="382" t="s">
        <v>541</v>
      </c>
      <c r="G429" s="316">
        <v>5</v>
      </c>
      <c r="H429" s="290">
        <f>COMPOSIÇÕES!J6</f>
        <v>407.8057</v>
      </c>
      <c r="I429" s="287">
        <f>H429+(H429*$J$4)</f>
        <v>487.3278115</v>
      </c>
      <c r="J429" s="384">
        <f>G429*I429</f>
        <v>2436.6390575</v>
      </c>
    </row>
    <row r="430" spans="1:16381" s="150" customFormat="1" ht="28.8">
      <c r="B430" s="381" t="s">
        <v>796</v>
      </c>
      <c r="C430" s="382">
        <v>37524</v>
      </c>
      <c r="D430" s="317" t="str">
        <f t="shared" si="40"/>
        <v>SINAPI SP - 08/2023</v>
      </c>
      <c r="E430" s="344" t="s">
        <v>543</v>
      </c>
      <c r="F430" s="382" t="s">
        <v>541</v>
      </c>
      <c r="G430" s="316">
        <v>40</v>
      </c>
      <c r="H430" s="290">
        <f>COMPOSIÇÕES!J7</f>
        <v>2</v>
      </c>
      <c r="I430" s="287">
        <f>H430+(H430*$J$4)</f>
        <v>2.39</v>
      </c>
      <c r="J430" s="384">
        <f>G430*I430</f>
        <v>95.600000000000009</v>
      </c>
    </row>
    <row r="431" spans="1:16381" s="261" customFormat="1">
      <c r="B431" s="577" t="s">
        <v>594</v>
      </c>
      <c r="C431" s="578"/>
      <c r="D431" s="578"/>
      <c r="E431" s="578"/>
      <c r="F431" s="578"/>
      <c r="G431" s="578"/>
      <c r="H431" s="578"/>
      <c r="I431" s="578"/>
      <c r="J431" s="296">
        <f>SUM(J429:J430)</f>
        <v>2532.2390574999999</v>
      </c>
    </row>
    <row r="432" spans="1:16381" s="147" customFormat="1">
      <c r="B432" s="237" t="s">
        <v>182</v>
      </c>
      <c r="C432" s="238"/>
      <c r="D432" s="533"/>
      <c r="E432" s="239" t="s">
        <v>525</v>
      </c>
      <c r="F432" s="238"/>
      <c r="G432" s="312"/>
      <c r="H432" s="300"/>
      <c r="I432" s="285"/>
      <c r="J432" s="294"/>
    </row>
    <row r="433" spans="1:10" s="276" customFormat="1" ht="28.8">
      <c r="B433" s="381" t="s">
        <v>491</v>
      </c>
      <c r="C433" s="382" t="s">
        <v>711</v>
      </c>
      <c r="D433" s="383" t="str">
        <f>COMPOSIÇÕES!B10</f>
        <v>SINAPI SP - 08/2023</v>
      </c>
      <c r="E433" s="487" t="s">
        <v>2404</v>
      </c>
      <c r="F433" s="382" t="s">
        <v>431</v>
      </c>
      <c r="G433" s="315">
        <v>18</v>
      </c>
      <c r="H433" s="290">
        <f>SUM(COMPOSIÇÕES!G11:G13)</f>
        <v>328.17395199999999</v>
      </c>
      <c r="I433" s="287">
        <f>COMPOSIÇÕES!J10</f>
        <v>392.16787263999993</v>
      </c>
      <c r="J433" s="384">
        <f t="shared" ref="J433" si="41">G433*I433</f>
        <v>7059.0217075199989</v>
      </c>
    </row>
    <row r="434" spans="1:10" s="150" customFormat="1" ht="86.4">
      <c r="B434" s="381" t="s">
        <v>1508</v>
      </c>
      <c r="C434" s="401" t="s">
        <v>711</v>
      </c>
      <c r="D434" s="383" t="str">
        <f>COMPOSIÇÕES!B14</f>
        <v>SINAPI SP - 08/2023</v>
      </c>
      <c r="E434" s="344" t="s">
        <v>754</v>
      </c>
      <c r="F434" s="382" t="s">
        <v>412</v>
      </c>
      <c r="G434" s="315">
        <v>92</v>
      </c>
      <c r="H434" s="290">
        <f>COMPOSIÇÕES!G15+COMPOSIÇÕES!G16+COMPOSIÇÕES!G17+COMPOSIÇÕES!G18</f>
        <v>37.264400000000002</v>
      </c>
      <c r="I434" s="287">
        <f>COMPOSIÇÕES!$J$14</f>
        <v>44.530958000000005</v>
      </c>
      <c r="J434" s="384">
        <f t="shared" ref="J434:J445" si="42">G434*I434</f>
        <v>4096.8481360000005</v>
      </c>
    </row>
    <row r="435" spans="1:10" s="150" customFormat="1" ht="86.4">
      <c r="B435" s="381" t="s">
        <v>1509</v>
      </c>
      <c r="C435" s="401" t="s">
        <v>711</v>
      </c>
      <c r="D435" s="383" t="str">
        <f t="shared" ref="D435:D436" si="43">$D$434</f>
        <v>SINAPI SP - 08/2023</v>
      </c>
      <c r="E435" s="344" t="s">
        <v>755</v>
      </c>
      <c r="F435" s="382" t="s">
        <v>412</v>
      </c>
      <c r="G435" s="315">
        <v>2</v>
      </c>
      <c r="H435" s="290">
        <f>COMPOSIÇÕES!G20+COMPOSIÇÕES!G21+COMPOSIÇÕES!G22+COMPOSIÇÕES!G23</f>
        <v>69.234999999999985</v>
      </c>
      <c r="I435" s="287">
        <f>COMPOSIÇÕES!$J$19</f>
        <v>82.735824999999991</v>
      </c>
      <c r="J435" s="384">
        <f t="shared" si="42"/>
        <v>165.47164999999998</v>
      </c>
    </row>
    <row r="436" spans="1:10" s="150" customFormat="1" ht="86.4">
      <c r="B436" s="381" t="s">
        <v>1510</v>
      </c>
      <c r="C436" s="401" t="s">
        <v>711</v>
      </c>
      <c r="D436" s="383" t="str">
        <f t="shared" si="43"/>
        <v>SINAPI SP - 08/2023</v>
      </c>
      <c r="E436" s="344" t="s">
        <v>804</v>
      </c>
      <c r="F436" s="382" t="s">
        <v>412</v>
      </c>
      <c r="G436" s="315">
        <v>90</v>
      </c>
      <c r="H436" s="290">
        <f>COMPOSIÇÕES!G118+COMPOSIÇÕES!G119+COMPOSIÇÕES!G120+COMPOSIÇÕES!G121</f>
        <v>94.308000000000007</v>
      </c>
      <c r="I436" s="287">
        <f>COMPOSIÇÕES!$J$117</f>
        <v>112.69806</v>
      </c>
      <c r="J436" s="384">
        <f t="shared" si="42"/>
        <v>10142.8254</v>
      </c>
    </row>
    <row r="437" spans="1:10" s="393" customFormat="1" ht="28.8">
      <c r="A437" s="150"/>
      <c r="B437" s="381" t="s">
        <v>1511</v>
      </c>
      <c r="C437" s="394" t="str">
        <f t="shared" ref="C437:I437" si="44">C378</f>
        <v>22.02.030</v>
      </c>
      <c r="D437" s="389" t="str">
        <f t="shared" si="44"/>
        <v>CDHU - BOLETIM 191</v>
      </c>
      <c r="E437" s="395" t="str">
        <f t="shared" si="44"/>
        <v>Forro em painéis de gesso acartonado, espessura de 12,5mm, fixo</v>
      </c>
      <c r="F437" s="394" t="str">
        <f t="shared" si="44"/>
        <v>M²</v>
      </c>
      <c r="G437" s="315">
        <f>9*4.8*0.55*2</f>
        <v>47.519999999999996</v>
      </c>
      <c r="H437" s="392">
        <f t="shared" si="44"/>
        <v>99.47</v>
      </c>
      <c r="I437" s="396">
        <f t="shared" si="44"/>
        <v>118.86664999999999</v>
      </c>
      <c r="J437" s="384">
        <f t="shared" si="42"/>
        <v>5648.5432079999991</v>
      </c>
    </row>
    <row r="438" spans="1:10" s="150" customFormat="1" ht="57.6">
      <c r="B438" s="381" t="s">
        <v>1512</v>
      </c>
      <c r="C438" s="401" t="s">
        <v>711</v>
      </c>
      <c r="D438" s="383" t="str">
        <f>COMPOSIÇÕES!B36</f>
        <v xml:space="preserve">SINAPI SP - 08/2023 </v>
      </c>
      <c r="E438" s="398" t="s">
        <v>756</v>
      </c>
      <c r="F438" s="382" t="s">
        <v>413</v>
      </c>
      <c r="G438" s="315">
        <v>440</v>
      </c>
      <c r="H438" s="287">
        <f>COMPOSIÇÕES!G37+COMPOSIÇÕES!G38+COMPOSIÇÕES!G39</f>
        <v>84.94</v>
      </c>
      <c r="I438" s="287">
        <f>COMPOSIÇÕES!$J$36</f>
        <v>101.5033</v>
      </c>
      <c r="J438" s="384">
        <f t="shared" si="42"/>
        <v>44661.451999999997</v>
      </c>
    </row>
    <row r="439" spans="1:10" s="335" customFormat="1" ht="28.8">
      <c r="A439" s="150"/>
      <c r="B439" s="381" t="s">
        <v>1513</v>
      </c>
      <c r="C439" s="401" t="s">
        <v>711</v>
      </c>
      <c r="D439" s="383" t="str">
        <f>COMPOSIÇÕES!B44</f>
        <v>CDHU - BOLETIM 191</v>
      </c>
      <c r="E439" s="388" t="s">
        <v>1042</v>
      </c>
      <c r="F439" s="382" t="s">
        <v>431</v>
      </c>
      <c r="G439" s="315">
        <v>8</v>
      </c>
      <c r="H439" s="287">
        <f>COMPOSIÇÕES!G45</f>
        <v>248.91654375000002</v>
      </c>
      <c r="I439" s="287">
        <f>COMPOSIÇÕES!$J$44</f>
        <v>297.45526978125002</v>
      </c>
      <c r="J439" s="384">
        <f t="shared" si="42"/>
        <v>2379.6421582500002</v>
      </c>
    </row>
    <row r="440" spans="1:10" s="335" customFormat="1" ht="28.8">
      <c r="A440" s="150"/>
      <c r="B440" s="381" t="s">
        <v>1514</v>
      </c>
      <c r="C440" s="401" t="s">
        <v>711</v>
      </c>
      <c r="D440" s="383" t="str">
        <f t="shared" ref="D440:D444" si="45">$D$439</f>
        <v>CDHU - BOLETIM 191</v>
      </c>
      <c r="E440" s="388" t="s">
        <v>1043</v>
      </c>
      <c r="F440" s="382" t="s">
        <v>431</v>
      </c>
      <c r="G440" s="315">
        <v>1</v>
      </c>
      <c r="H440" s="287">
        <f>COMPOSIÇÕES!G47</f>
        <v>49.947131250000005</v>
      </c>
      <c r="I440" s="287">
        <f>COMPOSIÇÕES!$J$46</f>
        <v>59.68682184375001</v>
      </c>
      <c r="J440" s="384">
        <f t="shared" si="42"/>
        <v>59.68682184375001</v>
      </c>
    </row>
    <row r="441" spans="1:10" s="335" customFormat="1" ht="28.8">
      <c r="A441" s="150"/>
      <c r="B441" s="381" t="s">
        <v>1515</v>
      </c>
      <c r="C441" s="401" t="s">
        <v>711</v>
      </c>
      <c r="D441" s="383" t="str">
        <f t="shared" si="45"/>
        <v>CDHU - BOLETIM 191</v>
      </c>
      <c r="E441" s="388" t="s">
        <v>1044</v>
      </c>
      <c r="F441" s="382" t="s">
        <v>431</v>
      </c>
      <c r="G441" s="315">
        <v>1</v>
      </c>
      <c r="H441" s="287">
        <f>COMPOSIÇÕES!G49</f>
        <v>82.875240000000005</v>
      </c>
      <c r="I441" s="287">
        <f>COMPOSIÇÕES!$J$48</f>
        <v>99.035911800000008</v>
      </c>
      <c r="J441" s="384">
        <f t="shared" si="42"/>
        <v>99.035911800000008</v>
      </c>
    </row>
    <row r="442" spans="1:10" s="150" customFormat="1" ht="28.8">
      <c r="B442" s="381" t="s">
        <v>1516</v>
      </c>
      <c r="C442" s="382" t="s">
        <v>711</v>
      </c>
      <c r="D442" s="383" t="str">
        <f t="shared" si="45"/>
        <v>CDHU - BOLETIM 191</v>
      </c>
      <c r="E442" s="388" t="s">
        <v>1120</v>
      </c>
      <c r="F442" s="382" t="s">
        <v>431</v>
      </c>
      <c r="G442" s="315">
        <v>8</v>
      </c>
      <c r="H442" s="287">
        <f>COMPOSIÇÕES!G53</f>
        <v>190.63124999999999</v>
      </c>
      <c r="I442" s="287">
        <f>COMPOSIÇÕES!$J$52</f>
        <v>227.80434374999999</v>
      </c>
      <c r="J442" s="384">
        <f t="shared" si="42"/>
        <v>1822.4347499999999</v>
      </c>
    </row>
    <row r="443" spans="1:10" s="150" customFormat="1" ht="28.8">
      <c r="B443" s="381" t="s">
        <v>1517</v>
      </c>
      <c r="C443" s="382" t="s">
        <v>711</v>
      </c>
      <c r="D443" s="383" t="str">
        <f t="shared" si="45"/>
        <v>CDHU - BOLETIM 191</v>
      </c>
      <c r="E443" s="388" t="s">
        <v>1117</v>
      </c>
      <c r="F443" s="382" t="s">
        <v>431</v>
      </c>
      <c r="G443" s="315">
        <v>1</v>
      </c>
      <c r="H443" s="287">
        <f>COMPOSIÇÕES!G57</f>
        <v>16.945000000000004</v>
      </c>
      <c r="I443" s="287">
        <f>COMPOSIÇÕES!$J$56</f>
        <v>20.249275000000004</v>
      </c>
      <c r="J443" s="384">
        <f t="shared" si="42"/>
        <v>20.249275000000004</v>
      </c>
    </row>
    <row r="444" spans="1:10" s="150" customFormat="1" ht="28.8">
      <c r="B444" s="381" t="s">
        <v>1518</v>
      </c>
      <c r="C444" s="382" t="s">
        <v>711</v>
      </c>
      <c r="D444" s="383" t="str">
        <f t="shared" si="45"/>
        <v>CDHU - BOLETIM 191</v>
      </c>
      <c r="E444" s="388" t="s">
        <v>809</v>
      </c>
      <c r="F444" s="382" t="s">
        <v>431</v>
      </c>
      <c r="G444" s="317">
        <v>1</v>
      </c>
      <c r="H444" s="287">
        <f>SUM(COMPOSIÇÕES!$G$123:$G$123)</f>
        <v>33.890000000000008</v>
      </c>
      <c r="I444" s="287">
        <f>COMPOSIÇÕES!$J$122</f>
        <v>40.498550000000009</v>
      </c>
      <c r="J444" s="384">
        <f t="shared" si="42"/>
        <v>40.498550000000009</v>
      </c>
    </row>
    <row r="445" spans="1:10" s="150" customFormat="1" ht="57.6">
      <c r="A445" s="271"/>
      <c r="B445" s="381" t="s">
        <v>1519</v>
      </c>
      <c r="C445" s="382" t="s">
        <v>711</v>
      </c>
      <c r="D445" s="383" t="s">
        <v>2477</v>
      </c>
      <c r="E445" s="388" t="s">
        <v>758</v>
      </c>
      <c r="F445" s="382" t="s">
        <v>412</v>
      </c>
      <c r="G445" s="315">
        <v>140</v>
      </c>
      <c r="H445" s="287">
        <f>SUM(COMPOSIÇÕES!$G$60:$G$61)</f>
        <v>22.045999999999999</v>
      </c>
      <c r="I445" s="287">
        <f>COMPOSIÇÕES!$J$58</f>
        <v>37.641304999999996</v>
      </c>
      <c r="J445" s="384">
        <f t="shared" si="42"/>
        <v>5269.7826999999997</v>
      </c>
    </row>
    <row r="446" spans="1:10" s="150" customFormat="1" ht="28.8">
      <c r="A446" s="271"/>
      <c r="B446" s="381" t="s">
        <v>1520</v>
      </c>
      <c r="C446" s="382" t="s">
        <v>711</v>
      </c>
      <c r="D446" s="383" t="str">
        <f t="shared" ref="D446:D450" si="46">D387</f>
        <v>SINAPI SP - 08/2023</v>
      </c>
      <c r="E446" s="388" t="s">
        <v>697</v>
      </c>
      <c r="F446" s="382" t="s">
        <v>431</v>
      </c>
      <c r="G446" s="315">
        <v>18</v>
      </c>
      <c r="H446" s="287">
        <f>SUM(COMPOSIÇÕES!$G$65:$G$67)</f>
        <v>92.32</v>
      </c>
      <c r="I446" s="287">
        <f>COMPOSIÇÕES!$J$64</f>
        <v>110.32240000000002</v>
      </c>
      <c r="J446" s="384">
        <f t="shared" ref="J446:J450" si="47">I446*G446</f>
        <v>1985.8032000000003</v>
      </c>
    </row>
    <row r="447" spans="1:10" s="150" customFormat="1" ht="28.8">
      <c r="A447" s="271"/>
      <c r="B447" s="381" t="s">
        <v>1521</v>
      </c>
      <c r="C447" s="382" t="s">
        <v>711</v>
      </c>
      <c r="D447" s="383" t="str">
        <f t="shared" si="46"/>
        <v xml:space="preserve">SINAPI SP - 08/2023 </v>
      </c>
      <c r="E447" s="388" t="s">
        <v>762</v>
      </c>
      <c r="F447" s="382" t="s">
        <v>415</v>
      </c>
      <c r="G447" s="315">
        <v>1</v>
      </c>
      <c r="H447" s="287">
        <f>SUM(COMPOSIÇÕES!$G$69:$G$70)</f>
        <v>58.91</v>
      </c>
      <c r="I447" s="287">
        <f>COMPOSIÇÕES!$J$68</f>
        <v>70.397449999999992</v>
      </c>
      <c r="J447" s="384">
        <f t="shared" si="47"/>
        <v>70.397449999999992</v>
      </c>
    </row>
    <row r="448" spans="1:10" s="150" customFormat="1" ht="28.8">
      <c r="A448" s="271"/>
      <c r="B448" s="381" t="s">
        <v>1522</v>
      </c>
      <c r="C448" s="399" t="s">
        <v>763</v>
      </c>
      <c r="D448" s="273" t="str">
        <f t="shared" si="46"/>
        <v xml:space="preserve">SINAPI SP - 08/2023 </v>
      </c>
      <c r="E448" s="400" t="s">
        <v>761</v>
      </c>
      <c r="F448" s="273" t="s">
        <v>541</v>
      </c>
      <c r="G448" s="316">
        <v>2</v>
      </c>
      <c r="H448" s="287">
        <f>SUM(COMPOSIÇÕES!$G$72:$G$72)</f>
        <v>28.8</v>
      </c>
      <c r="I448" s="287">
        <f>COMPOSIÇÕES!$J$71</f>
        <v>34.416000000000004</v>
      </c>
      <c r="J448" s="384">
        <f t="shared" si="47"/>
        <v>68.832000000000008</v>
      </c>
    </row>
    <row r="449" spans="1:10" s="150" customFormat="1">
      <c r="A449" s="271"/>
      <c r="B449" s="381" t="s">
        <v>2410</v>
      </c>
      <c r="C449" s="399" t="s">
        <v>759</v>
      </c>
      <c r="D449" s="273" t="str">
        <f t="shared" si="46"/>
        <v>FDE - 07/2023</v>
      </c>
      <c r="E449" s="400" t="s">
        <v>760</v>
      </c>
      <c r="F449" s="273" t="s">
        <v>701</v>
      </c>
      <c r="G449" s="316">
        <v>1</v>
      </c>
      <c r="H449" s="530">
        <f>VLOOKUP(C449,COMPOSIÇÕES!A:J,6,FALSE)</f>
        <v>38.485355648535567</v>
      </c>
      <c r="I449" s="287">
        <f>COMPOSIÇÕES!$J$73</f>
        <v>45.99</v>
      </c>
      <c r="J449" s="384">
        <f t="shared" si="47"/>
        <v>45.99</v>
      </c>
    </row>
    <row r="450" spans="1:10" s="150" customFormat="1">
      <c r="A450" s="271"/>
      <c r="B450" s="381" t="s">
        <v>2440</v>
      </c>
      <c r="C450" s="399" t="s">
        <v>764</v>
      </c>
      <c r="D450" s="273" t="str">
        <f t="shared" si="46"/>
        <v>FDE - 07/2023</v>
      </c>
      <c r="E450" s="400" t="s">
        <v>765</v>
      </c>
      <c r="F450" s="273" t="s">
        <v>541</v>
      </c>
      <c r="G450" s="316">
        <v>3</v>
      </c>
      <c r="H450" s="530">
        <f>VLOOKUP(C450,COMPOSIÇÕES!A:J,6,FALSE)</f>
        <v>210.81171548117152</v>
      </c>
      <c r="I450" s="287">
        <f>COMPOSIÇÕES!$J$74</f>
        <v>251.91999999999996</v>
      </c>
      <c r="J450" s="384">
        <f t="shared" si="47"/>
        <v>755.75999999999988</v>
      </c>
    </row>
    <row r="451" spans="1:10" s="261" customFormat="1">
      <c r="B451" s="577" t="s">
        <v>602</v>
      </c>
      <c r="C451" s="578"/>
      <c r="D451" s="578"/>
      <c r="E451" s="578"/>
      <c r="F451" s="578"/>
      <c r="G451" s="578"/>
      <c r="H451" s="578"/>
      <c r="I451" s="578"/>
      <c r="J451" s="296">
        <f>SUM(J433:J450)</f>
        <v>84392.274918413736</v>
      </c>
    </row>
    <row r="452" spans="1:10" s="147" customFormat="1">
      <c r="B452" s="237" t="s">
        <v>184</v>
      </c>
      <c r="C452" s="238"/>
      <c r="D452" s="533"/>
      <c r="E452" s="239" t="s">
        <v>526</v>
      </c>
      <c r="F452" s="238"/>
      <c r="G452" s="312"/>
      <c r="H452" s="300"/>
      <c r="I452" s="285"/>
      <c r="J452" s="294"/>
    </row>
    <row r="453" spans="1:10" s="276" customFormat="1">
      <c r="A453" s="263"/>
      <c r="B453" s="381" t="s">
        <v>595</v>
      </c>
      <c r="C453" s="382" t="s">
        <v>711</v>
      </c>
      <c r="D453" s="480" t="str">
        <f>$D$394</f>
        <v>FDE - 07/2023</v>
      </c>
      <c r="E453" s="344" t="s">
        <v>745</v>
      </c>
      <c r="F453" s="382" t="s">
        <v>431</v>
      </c>
      <c r="G453" s="316">
        <v>13</v>
      </c>
      <c r="H453" s="290">
        <f>$H$394</f>
        <v>34.013252032520327</v>
      </c>
      <c r="I453" s="287">
        <f>COMPOSIÇÕES!$J$75</f>
        <v>40.645836178861792</v>
      </c>
      <c r="J453" s="384">
        <f t="shared" ref="J453:J471" si="48">G453*I453</f>
        <v>528.3958703252033</v>
      </c>
    </row>
    <row r="454" spans="1:10" s="276" customFormat="1">
      <c r="A454" s="263"/>
      <c r="B454" s="381" t="s">
        <v>596</v>
      </c>
      <c r="C454" s="382" t="s">
        <v>739</v>
      </c>
      <c r="D454" s="480" t="str">
        <f t="shared" ref="D454:D456" si="49">$D$453</f>
        <v>FDE - 07/2023</v>
      </c>
      <c r="E454" s="344" t="s">
        <v>766</v>
      </c>
      <c r="F454" s="382" t="s">
        <v>431</v>
      </c>
      <c r="G454" s="316">
        <v>6</v>
      </c>
      <c r="H454" s="290">
        <f t="shared" ref="H454:H456" si="50">H397</f>
        <v>32.35146443514644</v>
      </c>
      <c r="I454" s="287">
        <f>COMPOSIÇÕES!$J$83</f>
        <v>38.659999999999997</v>
      </c>
      <c r="J454" s="384">
        <f t="shared" si="48"/>
        <v>231.95999999999998</v>
      </c>
    </row>
    <row r="455" spans="1:10" s="276" customFormat="1">
      <c r="A455" s="263"/>
      <c r="B455" s="381" t="s">
        <v>597</v>
      </c>
      <c r="C455" s="382" t="s">
        <v>739</v>
      </c>
      <c r="D455" s="480" t="str">
        <f t="shared" si="49"/>
        <v>FDE - 07/2023</v>
      </c>
      <c r="E455" s="344" t="s">
        <v>767</v>
      </c>
      <c r="F455" s="382" t="s">
        <v>431</v>
      </c>
      <c r="G455" s="316">
        <v>6</v>
      </c>
      <c r="H455" s="290">
        <f t="shared" si="50"/>
        <v>32.35146443514644</v>
      </c>
      <c r="I455" s="287">
        <f>COMPOSIÇÕES!$J$83</f>
        <v>38.659999999999997</v>
      </c>
      <c r="J455" s="384">
        <f t="shared" si="48"/>
        <v>231.95999999999998</v>
      </c>
    </row>
    <row r="456" spans="1:10" s="276" customFormat="1">
      <c r="A456" s="263"/>
      <c r="B456" s="381" t="s">
        <v>598</v>
      </c>
      <c r="C456" s="382" t="s">
        <v>739</v>
      </c>
      <c r="D456" s="480" t="str">
        <f t="shared" si="49"/>
        <v>FDE - 07/2023</v>
      </c>
      <c r="E456" s="344" t="s">
        <v>768</v>
      </c>
      <c r="F456" s="382" t="s">
        <v>431</v>
      </c>
      <c r="G456" s="316">
        <v>2</v>
      </c>
      <c r="H456" s="290">
        <f t="shared" si="50"/>
        <v>32.35146443514644</v>
      </c>
      <c r="I456" s="287">
        <f>COMPOSIÇÕES!$J$83</f>
        <v>38.659999999999997</v>
      </c>
      <c r="J456" s="384">
        <f t="shared" si="48"/>
        <v>77.319999999999993</v>
      </c>
    </row>
    <row r="457" spans="1:10" s="276" customFormat="1">
      <c r="A457" s="263"/>
      <c r="B457" s="381" t="s">
        <v>599</v>
      </c>
      <c r="C457" s="382" t="s">
        <v>735</v>
      </c>
      <c r="D457" s="383" t="str">
        <f>COMPOSIÇÕES!B89</f>
        <v>FDE - 07/2023</v>
      </c>
      <c r="E457" s="344" t="s">
        <v>736</v>
      </c>
      <c r="F457" s="382" t="s">
        <v>431</v>
      </c>
      <c r="G457" s="316">
        <v>117</v>
      </c>
      <c r="H457" s="530">
        <f>VLOOKUP(C457,COMPOSIÇÕES!A:J,6,FALSE)</f>
        <v>7.8158995815899575</v>
      </c>
      <c r="I457" s="287">
        <f>COMPOSIÇÕES!$J$89</f>
        <v>9.34</v>
      </c>
      <c r="J457" s="384">
        <f t="shared" si="48"/>
        <v>1092.78</v>
      </c>
    </row>
    <row r="458" spans="1:10" s="276" customFormat="1" ht="28.8">
      <c r="A458" s="263"/>
      <c r="B458" s="381" t="s">
        <v>1523</v>
      </c>
      <c r="C458" s="382" t="str">
        <f>COMPOSIÇÕES!A91</f>
        <v>38.21.920</v>
      </c>
      <c r="D458" s="383" t="str">
        <f>COMPOSIÇÕES!B91</f>
        <v>CDHU - BOLETIM 191</v>
      </c>
      <c r="E458" s="388" t="str">
        <f>COMPOSIÇÕES!C91</f>
        <v>Eletrocalha perfurada galvanizada a fogo, 100 x 50 mm, com acessórios</v>
      </c>
      <c r="F458" s="382" t="s">
        <v>412</v>
      </c>
      <c r="G458" s="316">
        <f>26*3</f>
        <v>78</v>
      </c>
      <c r="H458" s="530">
        <f>VLOOKUP(C458,COMPOSIÇÕES!A:J,6,FALSE)</f>
        <v>98.38</v>
      </c>
      <c r="I458" s="287">
        <f>COMPOSIÇÕES!$J$91</f>
        <v>117.5641</v>
      </c>
      <c r="J458" s="384">
        <f t="shared" si="48"/>
        <v>9169.9997999999996</v>
      </c>
    </row>
    <row r="459" spans="1:10" s="276" customFormat="1" ht="28.8">
      <c r="A459" s="263"/>
      <c r="B459" s="381" t="s">
        <v>1524</v>
      </c>
      <c r="C459" s="382" t="str">
        <f>COMPOSIÇÕES!A92</f>
        <v>38.06.040</v>
      </c>
      <c r="D459" s="383" t="str">
        <f>COMPOSIÇÕES!B92</f>
        <v>CDHU - BOLETIM 191</v>
      </c>
      <c r="E459" s="388" t="str">
        <f>COMPOSIÇÕES!C92</f>
        <v>Eletroduto galvanizado a quente conforme NBR5598 ‐ 3/4´ com acessórios</v>
      </c>
      <c r="F459" s="382" t="s">
        <v>412</v>
      </c>
      <c r="G459" s="316">
        <f>9*3</f>
        <v>27</v>
      </c>
      <c r="H459" s="530">
        <f>VLOOKUP(C459,COMPOSIÇÕES!A:J,6,FALSE)</f>
        <v>60.65</v>
      </c>
      <c r="I459" s="287">
        <f>COMPOSIÇÕES!$J$92</f>
        <v>72.476749999999996</v>
      </c>
      <c r="J459" s="384">
        <f t="shared" si="48"/>
        <v>1956.8722499999999</v>
      </c>
    </row>
    <row r="460" spans="1:10" s="276" customFormat="1" ht="28.8">
      <c r="A460" s="263"/>
      <c r="B460" s="381" t="s">
        <v>1525</v>
      </c>
      <c r="C460" s="382" t="str">
        <f>COMPOSIÇÕES!A191</f>
        <v>38.06.120</v>
      </c>
      <c r="D460" s="383" t="str">
        <f>COMPOSIÇÕES!B191</f>
        <v>CDHU - BOLETIM 191</v>
      </c>
      <c r="E460" s="388" t="str">
        <f>COMPOSIÇÕES!C191</f>
        <v>Eletroduto galvanizado a quente conforme NBR5598 ‐ 2´ com acessórios</v>
      </c>
      <c r="F460" s="382" t="s">
        <v>412</v>
      </c>
      <c r="G460" s="316">
        <v>1</v>
      </c>
      <c r="H460" s="530">
        <f>VLOOKUP(C460,COMPOSIÇÕES!A:J,6,FALSE)</f>
        <v>128.12</v>
      </c>
      <c r="I460" s="287">
        <f>COMPOSIÇÕES!$J$191</f>
        <v>153.10340000000002</v>
      </c>
      <c r="J460" s="384">
        <f t="shared" si="48"/>
        <v>153.10340000000002</v>
      </c>
    </row>
    <row r="461" spans="1:10" s="276" customFormat="1" ht="28.8">
      <c r="A461" s="263"/>
      <c r="B461" s="381" t="s">
        <v>1526</v>
      </c>
      <c r="C461" s="382">
        <v>91927</v>
      </c>
      <c r="D461" s="383" t="str">
        <f>COMPOSIÇÕES!B96</f>
        <v>SINAPI SP - 08/2023</v>
      </c>
      <c r="E461" s="344" t="s">
        <v>770</v>
      </c>
      <c r="F461" s="382" t="s">
        <v>412</v>
      </c>
      <c r="G461" s="316">
        <v>500</v>
      </c>
      <c r="H461" s="530">
        <f>VLOOKUP(C461,COMPOSIÇÕES!A:J,6,FALSE)</f>
        <v>4.8</v>
      </c>
      <c r="I461" s="287">
        <f>COMPOSIÇÕES!$J$96</f>
        <v>5.7359999999999998</v>
      </c>
      <c r="J461" s="384">
        <f t="shared" si="48"/>
        <v>2868</v>
      </c>
    </row>
    <row r="462" spans="1:10" s="276" customFormat="1" ht="28.8">
      <c r="A462" s="263"/>
      <c r="B462" s="381" t="s">
        <v>1527</v>
      </c>
      <c r="C462" s="382">
        <v>91927</v>
      </c>
      <c r="D462" s="383" t="str">
        <f t="shared" ref="D462:D468" si="51">$D$461</f>
        <v>SINAPI SP - 08/2023</v>
      </c>
      <c r="E462" s="344" t="s">
        <v>771</v>
      </c>
      <c r="F462" s="382" t="s">
        <v>412</v>
      </c>
      <c r="G462" s="316">
        <v>500</v>
      </c>
      <c r="H462" s="530">
        <f>VLOOKUP(C462,COMPOSIÇÕES!A:J,6,FALSE)</f>
        <v>4.8</v>
      </c>
      <c r="I462" s="287">
        <f>COMPOSIÇÕES!$J$96</f>
        <v>5.7359999999999998</v>
      </c>
      <c r="J462" s="384">
        <f t="shared" si="48"/>
        <v>2868</v>
      </c>
    </row>
    <row r="463" spans="1:10" s="276" customFormat="1" ht="28.8">
      <c r="A463" s="263"/>
      <c r="B463" s="381" t="s">
        <v>1528</v>
      </c>
      <c r="C463" s="382">
        <v>91927</v>
      </c>
      <c r="D463" s="383" t="str">
        <f t="shared" si="51"/>
        <v>SINAPI SP - 08/2023</v>
      </c>
      <c r="E463" s="344" t="s">
        <v>772</v>
      </c>
      <c r="F463" s="382" t="s">
        <v>412</v>
      </c>
      <c r="G463" s="316">
        <v>500</v>
      </c>
      <c r="H463" s="530">
        <f>VLOOKUP(C463,COMPOSIÇÕES!A:J,6,FALSE)</f>
        <v>4.8</v>
      </c>
      <c r="I463" s="287">
        <f>COMPOSIÇÕES!$J$96</f>
        <v>5.7359999999999998</v>
      </c>
      <c r="J463" s="384">
        <f t="shared" si="48"/>
        <v>2868</v>
      </c>
    </row>
    <row r="464" spans="1:10" s="276" customFormat="1" ht="28.8">
      <c r="A464" s="263"/>
      <c r="B464" s="381" t="s">
        <v>1529</v>
      </c>
      <c r="C464" s="382">
        <v>91927</v>
      </c>
      <c r="D464" s="383" t="str">
        <f t="shared" si="51"/>
        <v>SINAPI SP - 08/2023</v>
      </c>
      <c r="E464" s="344" t="s">
        <v>773</v>
      </c>
      <c r="F464" s="382" t="s">
        <v>412</v>
      </c>
      <c r="G464" s="316">
        <v>200</v>
      </c>
      <c r="H464" s="530">
        <f>VLOOKUP(C464,COMPOSIÇÕES!A:J,6,FALSE)</f>
        <v>4.8</v>
      </c>
      <c r="I464" s="287">
        <f>COMPOSIÇÕES!$J$96</f>
        <v>5.7359999999999998</v>
      </c>
      <c r="J464" s="384">
        <f t="shared" si="48"/>
        <v>1147.2</v>
      </c>
    </row>
    <row r="465" spans="1:10" s="276" customFormat="1" ht="28.8">
      <c r="A465" s="263"/>
      <c r="B465" s="381" t="s">
        <v>1530</v>
      </c>
      <c r="C465" s="382">
        <v>92984</v>
      </c>
      <c r="D465" s="383" t="str">
        <f t="shared" si="51"/>
        <v>SINAPI SP - 08/2023</v>
      </c>
      <c r="E465" s="344" t="s">
        <v>777</v>
      </c>
      <c r="F465" s="382" t="s">
        <v>412</v>
      </c>
      <c r="G465" s="316">
        <v>10</v>
      </c>
      <c r="H465" s="530">
        <f>VLOOKUP(C465,COMPOSIÇÕES!A:J,6,FALSE)</f>
        <v>23.65</v>
      </c>
      <c r="I465" s="287">
        <f>COMPOSIÇÕES!$J$98</f>
        <v>28.261749999999999</v>
      </c>
      <c r="J465" s="384">
        <f t="shared" si="48"/>
        <v>282.61750000000001</v>
      </c>
    </row>
    <row r="466" spans="1:10" s="276" customFormat="1" ht="28.8">
      <c r="A466" s="263"/>
      <c r="B466" s="381" t="s">
        <v>1531</v>
      </c>
      <c r="C466" s="382">
        <v>92988</v>
      </c>
      <c r="D466" s="383" t="str">
        <f t="shared" si="51"/>
        <v>SINAPI SP - 08/2023</v>
      </c>
      <c r="E466" s="344" t="s">
        <v>779</v>
      </c>
      <c r="F466" s="382" t="s">
        <v>412</v>
      </c>
      <c r="G466" s="316">
        <v>10</v>
      </c>
      <c r="H466" s="530">
        <f>VLOOKUP(C466,COMPOSIÇÕES!A:J,6,FALSE)</f>
        <v>46.05</v>
      </c>
      <c r="I466" s="287">
        <f>COMPOSIÇÕES!$J$99</f>
        <v>55.029749999999993</v>
      </c>
      <c r="J466" s="384">
        <f t="shared" si="48"/>
        <v>550.2974999999999</v>
      </c>
    </row>
    <row r="467" spans="1:10" s="276" customFormat="1" ht="28.8">
      <c r="A467" s="263"/>
      <c r="B467" s="381" t="s">
        <v>1532</v>
      </c>
      <c r="C467" s="382">
        <v>92988</v>
      </c>
      <c r="D467" s="383" t="str">
        <f t="shared" si="51"/>
        <v>SINAPI SP - 08/2023</v>
      </c>
      <c r="E467" s="344" t="s">
        <v>780</v>
      </c>
      <c r="F467" s="382" t="s">
        <v>412</v>
      </c>
      <c r="G467" s="316">
        <v>10</v>
      </c>
      <c r="H467" s="530">
        <f>VLOOKUP(C467,COMPOSIÇÕES!A:J,6,FALSE)</f>
        <v>46.05</v>
      </c>
      <c r="I467" s="287">
        <f>COMPOSIÇÕES!$J$99</f>
        <v>55.029749999999993</v>
      </c>
      <c r="J467" s="384">
        <f t="shared" si="48"/>
        <v>550.2974999999999</v>
      </c>
    </row>
    <row r="468" spans="1:10" s="276" customFormat="1" ht="28.8">
      <c r="A468" s="263"/>
      <c r="B468" s="381" t="s">
        <v>1533</v>
      </c>
      <c r="C468" s="382">
        <v>92988</v>
      </c>
      <c r="D468" s="383" t="str">
        <f t="shared" si="51"/>
        <v>SINAPI SP - 08/2023</v>
      </c>
      <c r="E468" s="344" t="s">
        <v>847</v>
      </c>
      <c r="F468" s="382" t="s">
        <v>412</v>
      </c>
      <c r="G468" s="316">
        <v>10</v>
      </c>
      <c r="H468" s="530">
        <f>VLOOKUP(C468,COMPOSIÇÕES!A:J,6,FALSE)</f>
        <v>46.05</v>
      </c>
      <c r="I468" s="287">
        <f>COMPOSIÇÕES!$J$99</f>
        <v>55.029749999999993</v>
      </c>
      <c r="J468" s="384">
        <f t="shared" si="48"/>
        <v>550.2974999999999</v>
      </c>
    </row>
    <row r="469" spans="1:10" s="276" customFormat="1">
      <c r="A469" s="263"/>
      <c r="B469" s="381" t="s">
        <v>1534</v>
      </c>
      <c r="C469" s="382" t="s">
        <v>711</v>
      </c>
      <c r="D469" s="383" t="str">
        <f>COMPOSIÇÕES!B103</f>
        <v>FDE - 07/2023</v>
      </c>
      <c r="E469" s="344" t="s">
        <v>732</v>
      </c>
      <c r="F469" s="382" t="s">
        <v>431</v>
      </c>
      <c r="G469" s="316">
        <v>4</v>
      </c>
      <c r="H469" s="530">
        <f>COMPOSIÇÕES!F103</f>
        <v>22.98</v>
      </c>
      <c r="I469" s="287">
        <f>COMPOSIÇÕES!$J$103</f>
        <v>27.461100000000002</v>
      </c>
      <c r="J469" s="384">
        <f t="shared" si="48"/>
        <v>109.84440000000001</v>
      </c>
    </row>
    <row r="470" spans="1:10" s="276" customFormat="1">
      <c r="A470" s="263"/>
      <c r="B470" s="381" t="s">
        <v>1535</v>
      </c>
      <c r="C470" s="382" t="s">
        <v>711</v>
      </c>
      <c r="D470" s="383" t="str">
        <f>$D$469</f>
        <v>FDE - 07/2023</v>
      </c>
      <c r="E470" s="344" t="s">
        <v>731</v>
      </c>
      <c r="F470" s="382" t="s">
        <v>431</v>
      </c>
      <c r="G470" s="316">
        <v>12</v>
      </c>
      <c r="H470" s="530">
        <f>COMPOSIÇÕES!F104</f>
        <v>34.06</v>
      </c>
      <c r="I470" s="287">
        <f>COMPOSIÇÕES!$J$104</f>
        <v>40.701700000000002</v>
      </c>
      <c r="J470" s="384">
        <f t="shared" si="48"/>
        <v>488.42040000000003</v>
      </c>
    </row>
    <row r="471" spans="1:10" s="263" customFormat="1" ht="72">
      <c r="B471" s="381" t="s">
        <v>1536</v>
      </c>
      <c r="C471" s="275" t="s">
        <v>711</v>
      </c>
      <c r="D471" s="277" t="str">
        <f>COMPOSIÇÕES!B146</f>
        <v>CDHU - BOLETIM 191 + FDE - 07/2023 + SINAPI SP - 08/2023</v>
      </c>
      <c r="E471" s="278" t="s">
        <v>1032</v>
      </c>
      <c r="F471" s="275" t="s">
        <v>530</v>
      </c>
      <c r="G471" s="313">
        <v>1</v>
      </c>
      <c r="H471" s="301">
        <f>SUM(COMPOSIÇÕES!G193:G199)</f>
        <v>8267.9060719665249</v>
      </c>
      <c r="I471" s="286">
        <f>COMPOSIÇÕES!$J$192</f>
        <v>9880.1477560000003</v>
      </c>
      <c r="J471" s="295">
        <f t="shared" si="48"/>
        <v>9880.1477560000003</v>
      </c>
    </row>
    <row r="472" spans="1:10" s="147" customFormat="1">
      <c r="B472" s="577" t="s">
        <v>600</v>
      </c>
      <c r="C472" s="578"/>
      <c r="D472" s="578"/>
      <c r="E472" s="578"/>
      <c r="F472" s="578"/>
      <c r="G472" s="578"/>
      <c r="H472" s="578"/>
      <c r="I472" s="578"/>
      <c r="J472" s="296">
        <f>SUM(J453:J471)</f>
        <v>35605.513876325203</v>
      </c>
    </row>
    <row r="473" spans="1:10" s="263" customFormat="1">
      <c r="B473" s="237" t="s">
        <v>186</v>
      </c>
      <c r="C473" s="238"/>
      <c r="D473" s="533"/>
      <c r="E473" s="239" t="s">
        <v>650</v>
      </c>
      <c r="F473" s="238"/>
      <c r="G473" s="312"/>
      <c r="H473" s="300"/>
      <c r="I473" s="285"/>
      <c r="J473" s="294"/>
    </row>
    <row r="474" spans="1:10" s="276" customFormat="1">
      <c r="A474" s="263"/>
      <c r="B474" s="381" t="s">
        <v>601</v>
      </c>
      <c r="C474" s="382" t="s">
        <v>708</v>
      </c>
      <c r="D474" s="383" t="str">
        <f>COMPOSIÇÕES!B115</f>
        <v>FDE - 07/2023</v>
      </c>
      <c r="E474" s="344" t="s">
        <v>651</v>
      </c>
      <c r="F474" s="382" t="s">
        <v>541</v>
      </c>
      <c r="G474" s="316">
        <v>100</v>
      </c>
      <c r="H474" s="290">
        <f>COMPOSIÇÕES!$G$116</f>
        <v>5.116260162601626</v>
      </c>
      <c r="I474" s="287">
        <f>COMPOSIÇÕES!$J$115</f>
        <v>6.1139308943089432</v>
      </c>
      <c r="J474" s="384">
        <f>G474*I474</f>
        <v>611.39308943089429</v>
      </c>
    </row>
    <row r="475" spans="1:10" s="263" customFormat="1">
      <c r="B475" s="577" t="s">
        <v>602</v>
      </c>
      <c r="C475" s="578"/>
      <c r="D475" s="578"/>
      <c r="E475" s="578"/>
      <c r="F475" s="578"/>
      <c r="G475" s="578"/>
      <c r="H475" s="578"/>
      <c r="I475" s="578"/>
      <c r="J475" s="296">
        <f>J474</f>
        <v>611.39308943089429</v>
      </c>
    </row>
    <row r="476" spans="1:10" s="261" customFormat="1" ht="25.5" customHeight="1" thickBot="1">
      <c r="B476" s="564" t="s">
        <v>593</v>
      </c>
      <c r="C476" s="565"/>
      <c r="D476" s="565"/>
      <c r="E476" s="565"/>
      <c r="F476" s="565"/>
      <c r="G476" s="565"/>
      <c r="H476" s="565"/>
      <c r="I476" s="566"/>
      <c r="J476" s="297">
        <f>J431+J451+J472+J475</f>
        <v>123141.42094166984</v>
      </c>
    </row>
    <row r="477" spans="1:10" s="147" customFormat="1">
      <c r="B477" s="264" t="s">
        <v>492</v>
      </c>
      <c r="C477" s="265"/>
      <c r="D477" s="534"/>
      <c r="E477" s="266" t="s">
        <v>537</v>
      </c>
      <c r="F477" s="265"/>
      <c r="G477" s="310"/>
      <c r="H477" s="298"/>
      <c r="I477" s="283"/>
      <c r="J477" s="292"/>
    </row>
    <row r="478" spans="1:10" s="147" customFormat="1" ht="6" customHeight="1">
      <c r="B478" s="234"/>
      <c r="C478" s="235"/>
      <c r="D478" s="532"/>
      <c r="E478" s="236"/>
      <c r="F478" s="235"/>
      <c r="G478" s="311"/>
      <c r="H478" s="299"/>
      <c r="I478" s="284"/>
      <c r="J478" s="293"/>
    </row>
    <row r="479" spans="1:10" s="261" customFormat="1">
      <c r="B479" s="237" t="s">
        <v>493</v>
      </c>
      <c r="C479" s="238"/>
      <c r="D479" s="533"/>
      <c r="E479" s="239" t="s">
        <v>483</v>
      </c>
      <c r="F479" s="238"/>
      <c r="G479" s="312"/>
      <c r="H479" s="300"/>
      <c r="I479" s="285"/>
      <c r="J479" s="294"/>
    </row>
    <row r="480" spans="1:10" s="150" customFormat="1">
      <c r="B480" s="381" t="s">
        <v>494</v>
      </c>
      <c r="C480" s="382" t="s">
        <v>699</v>
      </c>
      <c r="D480" s="317" t="str">
        <f t="shared" ref="D480:D481" si="52">D429</f>
        <v>FDE - 07/2023</v>
      </c>
      <c r="E480" s="344" t="s">
        <v>698</v>
      </c>
      <c r="F480" s="382" t="s">
        <v>541</v>
      </c>
      <c r="G480" s="316">
        <v>5</v>
      </c>
      <c r="H480" s="290">
        <f>COMPOSIÇÕES!J6</f>
        <v>407.8057</v>
      </c>
      <c r="I480" s="287">
        <f>H480+(H480*$J$4)</f>
        <v>487.3278115</v>
      </c>
      <c r="J480" s="384">
        <f>G480*I480</f>
        <v>2436.6390575</v>
      </c>
    </row>
    <row r="481" spans="1:10" s="150" customFormat="1" ht="28.8">
      <c r="B481" s="381" t="s">
        <v>797</v>
      </c>
      <c r="C481" s="382">
        <v>37524</v>
      </c>
      <c r="D481" s="317" t="str">
        <f t="shared" si="52"/>
        <v>SINAPI SP - 08/2023</v>
      </c>
      <c r="E481" s="344" t="s">
        <v>543</v>
      </c>
      <c r="F481" s="382" t="s">
        <v>541</v>
      </c>
      <c r="G481" s="316">
        <v>40</v>
      </c>
      <c r="H481" s="290">
        <f>COMPOSIÇÕES!J7</f>
        <v>2</v>
      </c>
      <c r="I481" s="287">
        <f>H481+(H481*$J$4)</f>
        <v>2.39</v>
      </c>
      <c r="J481" s="384">
        <f>G481*I481</f>
        <v>95.600000000000009</v>
      </c>
    </row>
    <row r="482" spans="1:10" s="261" customFormat="1">
      <c r="B482" s="577" t="s">
        <v>613</v>
      </c>
      <c r="C482" s="578"/>
      <c r="D482" s="578"/>
      <c r="E482" s="578"/>
      <c r="F482" s="578"/>
      <c r="G482" s="578"/>
      <c r="H482" s="578"/>
      <c r="I482" s="578"/>
      <c r="J482" s="296">
        <f>SUM(J480:J481)</f>
        <v>2532.2390574999999</v>
      </c>
    </row>
    <row r="483" spans="1:10" s="147" customFormat="1">
      <c r="B483" s="237" t="s">
        <v>495</v>
      </c>
      <c r="C483" s="238"/>
      <c r="D483" s="533"/>
      <c r="E483" s="239" t="s">
        <v>525</v>
      </c>
      <c r="F483" s="238"/>
      <c r="G483" s="312"/>
      <c r="H483" s="300"/>
      <c r="I483" s="285"/>
      <c r="J483" s="294"/>
    </row>
    <row r="484" spans="1:10" s="276" customFormat="1" ht="28.8">
      <c r="B484" s="381" t="s">
        <v>496</v>
      </c>
      <c r="C484" s="382" t="s">
        <v>711</v>
      </c>
      <c r="D484" s="383" t="str">
        <f>COMPOSIÇÕES!B10</f>
        <v>SINAPI SP - 08/2023</v>
      </c>
      <c r="E484" s="487" t="s">
        <v>2404</v>
      </c>
      <c r="F484" s="382" t="s">
        <v>431</v>
      </c>
      <c r="G484" s="315">
        <v>9</v>
      </c>
      <c r="H484" s="290">
        <f>SUM(COMPOSIÇÕES!G11:G13)</f>
        <v>328.17395199999999</v>
      </c>
      <c r="I484" s="287">
        <f>COMPOSIÇÕES!J10</f>
        <v>392.16787263999993</v>
      </c>
      <c r="J484" s="384">
        <f t="shared" ref="J484" si="53">G484*I484</f>
        <v>3529.5108537599995</v>
      </c>
    </row>
    <row r="485" spans="1:10" s="150" customFormat="1" ht="86.4">
      <c r="B485" s="381" t="s">
        <v>1537</v>
      </c>
      <c r="C485" s="382" t="s">
        <v>711</v>
      </c>
      <c r="D485" s="383" t="str">
        <f>COMPOSIÇÕES!B24</f>
        <v>SINAPI SP - 08/2023</v>
      </c>
      <c r="E485" s="344" t="s">
        <v>747</v>
      </c>
      <c r="F485" s="382" t="s">
        <v>412</v>
      </c>
      <c r="G485" s="315">
        <v>50</v>
      </c>
      <c r="H485" s="290">
        <f>COMPOSIÇÕES!G25+COMPOSIÇÕES!G26+COMPOSIÇÕES!G27+COMPOSIÇÕES!G28</f>
        <v>53.322000000000003</v>
      </c>
      <c r="I485" s="287">
        <f>COMPOSIÇÕES!$J$24</f>
        <v>63.719789999999996</v>
      </c>
      <c r="J485" s="384">
        <f t="shared" ref="J485:J495" si="54">G485*I485</f>
        <v>3185.9894999999997</v>
      </c>
    </row>
    <row r="486" spans="1:10" s="393" customFormat="1" ht="86.4">
      <c r="A486" s="150"/>
      <c r="B486" s="381" t="s">
        <v>1538</v>
      </c>
      <c r="C486" s="394" t="s">
        <v>711</v>
      </c>
      <c r="D486" s="389" t="str">
        <f>COMPOSIÇÕES!B29</f>
        <v xml:space="preserve">SINAPI SP - 08/2023 </v>
      </c>
      <c r="E486" s="395" t="s">
        <v>748</v>
      </c>
      <c r="F486" s="394" t="s">
        <v>412</v>
      </c>
      <c r="G486" s="315">
        <v>50</v>
      </c>
      <c r="H486" s="392">
        <f>COMPOSIÇÕES!G30+COMPOSIÇÕES!G31+COMPOSIÇÕES!G32+COMPOSIÇÕES!G33</f>
        <v>85.438000000000002</v>
      </c>
      <c r="I486" s="396">
        <f>COMPOSIÇÕES!$J$29</f>
        <v>102.09840999999999</v>
      </c>
      <c r="J486" s="397">
        <f t="shared" si="54"/>
        <v>5104.9204999999993</v>
      </c>
    </row>
    <row r="487" spans="1:10" s="393" customFormat="1" ht="28.8">
      <c r="A487" s="150"/>
      <c r="B487" s="381" t="s">
        <v>1539</v>
      </c>
      <c r="C487" s="394" t="str">
        <f t="shared" ref="C487:I487" si="55">C437</f>
        <v>22.02.030</v>
      </c>
      <c r="D487" s="389" t="str">
        <f t="shared" si="55"/>
        <v>CDHU - BOLETIM 191</v>
      </c>
      <c r="E487" s="395" t="str">
        <f t="shared" si="55"/>
        <v>Forro em painéis de gesso acartonado, espessura de 12,5mm, fixo</v>
      </c>
      <c r="F487" s="394" t="str">
        <f t="shared" si="55"/>
        <v>M²</v>
      </c>
      <c r="G487" s="315">
        <f>6*0.55*2*7.1</f>
        <v>46.86</v>
      </c>
      <c r="H487" s="392">
        <f t="shared" si="55"/>
        <v>99.47</v>
      </c>
      <c r="I487" s="396">
        <f t="shared" si="55"/>
        <v>118.86664999999999</v>
      </c>
      <c r="J487" s="397">
        <f t="shared" si="54"/>
        <v>5570.0912189999999</v>
      </c>
    </row>
    <row r="488" spans="1:10" s="150" customFormat="1" ht="57.6">
      <c r="B488" s="381" t="s">
        <v>1540</v>
      </c>
      <c r="C488" s="382" t="s">
        <v>711</v>
      </c>
      <c r="D488" s="383" t="str">
        <f>COMPOSIÇÕES!B36</f>
        <v xml:space="preserve">SINAPI SP - 08/2023 </v>
      </c>
      <c r="E488" s="398" t="s">
        <v>756</v>
      </c>
      <c r="F488" s="382" t="s">
        <v>413</v>
      </c>
      <c r="G488" s="315">
        <v>200</v>
      </c>
      <c r="H488" s="287">
        <f>COMPOSIÇÕES!G37+COMPOSIÇÕES!G38+COMPOSIÇÕES!G39</f>
        <v>84.94</v>
      </c>
      <c r="I488" s="287">
        <f>COMPOSIÇÕES!$J$36</f>
        <v>101.5033</v>
      </c>
      <c r="J488" s="384">
        <f t="shared" si="54"/>
        <v>20300.66</v>
      </c>
    </row>
    <row r="489" spans="1:10" s="335" customFormat="1" ht="28.8">
      <c r="A489" s="150"/>
      <c r="B489" s="381" t="s">
        <v>1541</v>
      </c>
      <c r="C489" s="480" t="str">
        <f>COMPOSIÇÕES!A44</f>
        <v>61.10.565</v>
      </c>
      <c r="D489" s="480" t="str">
        <f>COMPOSIÇÕES!B44</f>
        <v>CDHU - BOLETIM 191</v>
      </c>
      <c r="E489" s="388" t="s">
        <v>1042</v>
      </c>
      <c r="F489" s="382" t="s">
        <v>431</v>
      </c>
      <c r="G489" s="315">
        <v>3</v>
      </c>
      <c r="H489" s="287">
        <f>COMPOSIÇÕES!G45</f>
        <v>248.91654375000002</v>
      </c>
      <c r="I489" s="287">
        <f>COMPOSIÇÕES!$J$44</f>
        <v>297.45526978125002</v>
      </c>
      <c r="J489" s="384">
        <f t="shared" si="54"/>
        <v>892.36580934375002</v>
      </c>
    </row>
    <row r="490" spans="1:10" s="335" customFormat="1" ht="28.8">
      <c r="A490" s="150"/>
      <c r="B490" s="381" t="s">
        <v>1542</v>
      </c>
      <c r="C490" s="383" t="str">
        <f>COMPOSIÇÕES!A46</f>
        <v>61.10.564</v>
      </c>
      <c r="D490" s="383" t="str">
        <f>COMPOSIÇÕES!B46</f>
        <v>CDHU - BOLETIM 191</v>
      </c>
      <c r="E490" s="388" t="s">
        <v>1043</v>
      </c>
      <c r="F490" s="382" t="s">
        <v>431</v>
      </c>
      <c r="G490" s="315">
        <v>2</v>
      </c>
      <c r="H490" s="287">
        <f>COMPOSIÇÕES!G47</f>
        <v>49.947131250000005</v>
      </c>
      <c r="I490" s="287">
        <f>COMPOSIÇÕES!$J$46</f>
        <v>59.68682184375001</v>
      </c>
      <c r="J490" s="384">
        <f t="shared" si="54"/>
        <v>119.37364368750002</v>
      </c>
    </row>
    <row r="491" spans="1:10" s="335" customFormat="1" ht="28.8">
      <c r="A491" s="150"/>
      <c r="B491" s="381" t="s">
        <v>1543</v>
      </c>
      <c r="C491" s="383" t="str">
        <f>COMPOSIÇÕES!A48</f>
        <v>61.10.564</v>
      </c>
      <c r="D491" s="383" t="str">
        <f>COMPOSIÇÕES!B48</f>
        <v>CDHU - BOLETIM 191</v>
      </c>
      <c r="E491" s="388" t="s">
        <v>1044</v>
      </c>
      <c r="F491" s="382" t="s">
        <v>431</v>
      </c>
      <c r="G491" s="315">
        <v>1</v>
      </c>
      <c r="H491" s="287">
        <f>COMPOSIÇÕES!G49</f>
        <v>82.875240000000005</v>
      </c>
      <c r="I491" s="287">
        <f>COMPOSIÇÕES!$J$48</f>
        <v>99.035911800000008</v>
      </c>
      <c r="J491" s="384">
        <f t="shared" si="54"/>
        <v>99.035911800000008</v>
      </c>
    </row>
    <row r="492" spans="1:10" s="150" customFormat="1" ht="28.8">
      <c r="B492" s="381" t="s">
        <v>1544</v>
      </c>
      <c r="C492" s="383" t="str">
        <f>COMPOSIÇÕES!A52</f>
        <v>61.10.581</v>
      </c>
      <c r="D492" s="383" t="str">
        <f>COMPOSIÇÕES!B52</f>
        <v>CDHU - BOLETIM 191</v>
      </c>
      <c r="E492" s="388" t="s">
        <v>1120</v>
      </c>
      <c r="F492" s="382" t="s">
        <v>431</v>
      </c>
      <c r="G492" s="315">
        <v>3</v>
      </c>
      <c r="H492" s="287">
        <f>COMPOSIÇÕES!G53</f>
        <v>190.63124999999999</v>
      </c>
      <c r="I492" s="287">
        <f>COMPOSIÇÕES!$J$52</f>
        <v>227.80434374999999</v>
      </c>
      <c r="J492" s="384">
        <f t="shared" si="54"/>
        <v>683.4130312499999</v>
      </c>
    </row>
    <row r="493" spans="1:10" s="150" customFormat="1" ht="28.8">
      <c r="B493" s="381" t="s">
        <v>1545</v>
      </c>
      <c r="C493" s="383" t="str">
        <f>COMPOSIÇÕES!A56</f>
        <v>61.10.581</v>
      </c>
      <c r="D493" s="383" t="str">
        <f>COMPOSIÇÕES!B56</f>
        <v>CDHU - BOLETIM 191</v>
      </c>
      <c r="E493" s="388" t="s">
        <v>1117</v>
      </c>
      <c r="F493" s="382" t="s">
        <v>431</v>
      </c>
      <c r="G493" s="315">
        <v>2</v>
      </c>
      <c r="H493" s="287">
        <f>COMPOSIÇÕES!G57</f>
        <v>16.945000000000004</v>
      </c>
      <c r="I493" s="287">
        <f>COMPOSIÇÕES!$J$56</f>
        <v>20.249275000000004</v>
      </c>
      <c r="J493" s="384">
        <f t="shared" si="54"/>
        <v>40.498550000000009</v>
      </c>
    </row>
    <row r="494" spans="1:10" s="150" customFormat="1" ht="28.8">
      <c r="B494" s="381" t="s">
        <v>1546</v>
      </c>
      <c r="C494" s="383" t="str">
        <f>COMPOSIÇÕES!A122</f>
        <v>61.10.581</v>
      </c>
      <c r="D494" s="383" t="str">
        <f>COMPOSIÇÕES!B122</f>
        <v>CDHU - BOLETIM 191</v>
      </c>
      <c r="E494" s="388" t="s">
        <v>809</v>
      </c>
      <c r="F494" s="382" t="s">
        <v>431</v>
      </c>
      <c r="G494" s="317">
        <v>1</v>
      </c>
      <c r="H494" s="287">
        <f>SUM(COMPOSIÇÕES!$G$123:$G$123)</f>
        <v>33.890000000000008</v>
      </c>
      <c r="I494" s="287">
        <f>COMPOSIÇÕES!$J$122</f>
        <v>40.498550000000009</v>
      </c>
      <c r="J494" s="384">
        <f t="shared" si="54"/>
        <v>40.498550000000009</v>
      </c>
    </row>
    <row r="495" spans="1:10" s="150" customFormat="1" ht="28.8">
      <c r="A495" s="271"/>
      <c r="B495" s="381" t="s">
        <v>1547</v>
      </c>
      <c r="C495" s="382" t="s">
        <v>711</v>
      </c>
      <c r="D495" s="383" t="str">
        <f>COMPOSIÇÕES!B58</f>
        <v xml:space="preserve">SINAPI SP - 08/2023 </v>
      </c>
      <c r="E495" s="388" t="s">
        <v>758</v>
      </c>
      <c r="F495" s="382" t="s">
        <v>412</v>
      </c>
      <c r="G495" s="315">
        <v>75</v>
      </c>
      <c r="H495" s="287">
        <f>COMPOSIÇÕES!G59+COMPOSIÇÕES!G60+COMPOSIÇÕES!G61</f>
        <v>31.499000000000002</v>
      </c>
      <c r="I495" s="287">
        <f>COMPOSIÇÕES!$J$58</f>
        <v>37.641304999999996</v>
      </c>
      <c r="J495" s="384">
        <f t="shared" si="54"/>
        <v>2823.0978749999995</v>
      </c>
    </row>
    <row r="496" spans="1:10" s="150" customFormat="1" ht="28.8">
      <c r="A496" s="271"/>
      <c r="B496" s="381" t="s">
        <v>1548</v>
      </c>
      <c r="C496" s="382" t="s">
        <v>711</v>
      </c>
      <c r="D496" s="383" t="str">
        <f>COMPOSIÇÕES!B64</f>
        <v>SINAPI SP - 08/2023</v>
      </c>
      <c r="E496" s="388" t="s">
        <v>697</v>
      </c>
      <c r="F496" s="382" t="s">
        <v>431</v>
      </c>
      <c r="G496" s="315">
        <v>9</v>
      </c>
      <c r="H496" s="287">
        <f>SUM(COMPOSIÇÕES!$G$65:$G$67)</f>
        <v>92.32</v>
      </c>
      <c r="I496" s="287">
        <f>COMPOSIÇÕES!$J$64</f>
        <v>110.32240000000002</v>
      </c>
      <c r="J496" s="384">
        <f t="shared" ref="J496:J500" si="56">I496*G496</f>
        <v>992.90160000000014</v>
      </c>
    </row>
    <row r="497" spans="1:10" s="150" customFormat="1" ht="28.8">
      <c r="A497" s="271"/>
      <c r="B497" s="381" t="s">
        <v>1549</v>
      </c>
      <c r="C497" s="382" t="s">
        <v>711</v>
      </c>
      <c r="D497" s="383" t="str">
        <f>COMPOSIÇÕES!B68</f>
        <v xml:space="preserve">SINAPI SP - 08/2023 </v>
      </c>
      <c r="E497" s="388" t="s">
        <v>762</v>
      </c>
      <c r="F497" s="382" t="s">
        <v>415</v>
      </c>
      <c r="G497" s="315">
        <v>1</v>
      </c>
      <c r="H497" s="287">
        <f>SUM(COMPOSIÇÕES!$G$69:$G$70)</f>
        <v>58.91</v>
      </c>
      <c r="I497" s="287">
        <f>COMPOSIÇÕES!$J$68</f>
        <v>70.397449999999992</v>
      </c>
      <c r="J497" s="384">
        <f t="shared" si="56"/>
        <v>70.397449999999992</v>
      </c>
    </row>
    <row r="498" spans="1:10" s="150" customFormat="1" ht="28.8">
      <c r="A498" s="271"/>
      <c r="B498" s="381" t="s">
        <v>1550</v>
      </c>
      <c r="C498" s="399" t="s">
        <v>763</v>
      </c>
      <c r="D498" s="273" t="str">
        <f>COMPOSIÇÕES!B71</f>
        <v xml:space="preserve">SINAPI SP - 08/2023 </v>
      </c>
      <c r="E498" s="400" t="s">
        <v>761</v>
      </c>
      <c r="F498" s="273" t="s">
        <v>541</v>
      </c>
      <c r="G498" s="316">
        <v>2</v>
      </c>
      <c r="H498" s="287">
        <f>SUM(COMPOSIÇÕES!$G$72:$G$72)</f>
        <v>28.8</v>
      </c>
      <c r="I498" s="287">
        <f>COMPOSIÇÕES!$J$71</f>
        <v>34.416000000000004</v>
      </c>
      <c r="J498" s="384">
        <f t="shared" si="56"/>
        <v>68.832000000000008</v>
      </c>
    </row>
    <row r="499" spans="1:10" s="150" customFormat="1">
      <c r="A499" s="271"/>
      <c r="B499" s="381" t="s">
        <v>2441</v>
      </c>
      <c r="C499" s="399" t="s">
        <v>759</v>
      </c>
      <c r="D499" s="273" t="str">
        <f>COMPOSIÇÕES!B73</f>
        <v>FDE - 07/2023</v>
      </c>
      <c r="E499" s="400" t="s">
        <v>760</v>
      </c>
      <c r="F499" s="273" t="s">
        <v>701</v>
      </c>
      <c r="G499" s="316">
        <v>1</v>
      </c>
      <c r="H499" s="530">
        <f>VLOOKUP(C499,COMPOSIÇÕES!A:J,6,FALSE)</f>
        <v>38.485355648535567</v>
      </c>
      <c r="I499" s="287">
        <f>COMPOSIÇÕES!$J$73</f>
        <v>45.99</v>
      </c>
      <c r="J499" s="384">
        <f t="shared" si="56"/>
        <v>45.99</v>
      </c>
    </row>
    <row r="500" spans="1:10" s="150" customFormat="1">
      <c r="A500" s="271"/>
      <c r="B500" s="381" t="s">
        <v>2442</v>
      </c>
      <c r="C500" s="399" t="s">
        <v>764</v>
      </c>
      <c r="D500" s="273" t="str">
        <f>COMPOSIÇÕES!B74</f>
        <v>FDE - 07/2023</v>
      </c>
      <c r="E500" s="400" t="s">
        <v>765</v>
      </c>
      <c r="F500" s="273" t="s">
        <v>541</v>
      </c>
      <c r="G500" s="316">
        <v>3</v>
      </c>
      <c r="H500" s="530">
        <f>VLOOKUP(C500,COMPOSIÇÕES!A:J,6,FALSE)</f>
        <v>210.81171548117152</v>
      </c>
      <c r="I500" s="287">
        <f>COMPOSIÇÕES!$J$74</f>
        <v>251.91999999999996</v>
      </c>
      <c r="J500" s="384">
        <f t="shared" si="56"/>
        <v>755.75999999999988</v>
      </c>
    </row>
    <row r="501" spans="1:10" s="261" customFormat="1">
      <c r="B501" s="577" t="s">
        <v>612</v>
      </c>
      <c r="C501" s="578"/>
      <c r="D501" s="578"/>
      <c r="E501" s="578"/>
      <c r="F501" s="578"/>
      <c r="G501" s="578"/>
      <c r="H501" s="578"/>
      <c r="I501" s="578"/>
      <c r="J501" s="296">
        <f>SUM(J484:J500)</f>
        <v>44323.336493841234</v>
      </c>
    </row>
    <row r="502" spans="1:10" s="147" customFormat="1">
      <c r="B502" s="237" t="s">
        <v>604</v>
      </c>
      <c r="C502" s="238"/>
      <c r="D502" s="533"/>
      <c r="E502" s="239" t="s">
        <v>526</v>
      </c>
      <c r="F502" s="238"/>
      <c r="G502" s="312"/>
      <c r="H502" s="300"/>
      <c r="I502" s="285"/>
      <c r="J502" s="294"/>
    </row>
    <row r="503" spans="1:10" s="276" customFormat="1">
      <c r="A503" s="263"/>
      <c r="B503" s="381" t="s">
        <v>605</v>
      </c>
      <c r="C503" s="382" t="s">
        <v>711</v>
      </c>
      <c r="D503" s="383" t="str">
        <f>COMPOSIÇÕES!B75</f>
        <v>FDE - 07/2023</v>
      </c>
      <c r="E503" s="344" t="s">
        <v>745</v>
      </c>
      <c r="F503" s="382" t="s">
        <v>431</v>
      </c>
      <c r="G503" s="316">
        <v>24</v>
      </c>
      <c r="H503" s="290">
        <f>COMPOSIÇÕES!G76+COMPOSIÇÕES!G77+COMPOSIÇÕES!G78</f>
        <v>34.013252032520327</v>
      </c>
      <c r="I503" s="287">
        <f>COMPOSIÇÕES!$J$75</f>
        <v>40.645836178861792</v>
      </c>
      <c r="J503" s="384">
        <f t="shared" ref="J503:J514" si="57">G503*I503</f>
        <v>975.50006829268295</v>
      </c>
    </row>
    <row r="504" spans="1:10" s="276" customFormat="1">
      <c r="A504" s="263"/>
      <c r="B504" s="381" t="s">
        <v>606</v>
      </c>
      <c r="C504" s="382" t="s">
        <v>735</v>
      </c>
      <c r="D504" s="383" t="str">
        <f>COMPOSIÇÕES!B89</f>
        <v>FDE - 07/2023</v>
      </c>
      <c r="E504" s="344" t="s">
        <v>736</v>
      </c>
      <c r="F504" s="382" t="s">
        <v>431</v>
      </c>
      <c r="G504" s="316">
        <v>54</v>
      </c>
      <c r="H504" s="530">
        <f>VLOOKUP(C504,COMPOSIÇÕES!A:J,6,FALSE)</f>
        <v>7.8158995815899575</v>
      </c>
      <c r="I504" s="287">
        <f>COMPOSIÇÕES!$J$89</f>
        <v>9.34</v>
      </c>
      <c r="J504" s="384">
        <f t="shared" si="57"/>
        <v>504.36</v>
      </c>
    </row>
    <row r="505" spans="1:10" s="276" customFormat="1" ht="28.8">
      <c r="A505" s="263"/>
      <c r="B505" s="381" t="s">
        <v>607</v>
      </c>
      <c r="C505" s="382" t="str">
        <f>COMPOSIÇÕES!A91</f>
        <v>38.21.920</v>
      </c>
      <c r="D505" s="383" t="str">
        <f>COMPOSIÇÕES!B91</f>
        <v>CDHU - BOLETIM 191</v>
      </c>
      <c r="E505" s="388" t="str">
        <f>COMPOSIÇÕES!C91</f>
        <v>Eletrocalha perfurada galvanizada a fogo, 100 x 50 mm, com acessórios</v>
      </c>
      <c r="F505" s="382" t="s">
        <v>412</v>
      </c>
      <c r="G505" s="316">
        <f>12*3</f>
        <v>36</v>
      </c>
      <c r="H505" s="530">
        <f>VLOOKUP(C505,COMPOSIÇÕES!A:J,6,FALSE)</f>
        <v>98.38</v>
      </c>
      <c r="I505" s="287">
        <f>COMPOSIÇÕES!$J$91</f>
        <v>117.5641</v>
      </c>
      <c r="J505" s="384">
        <f t="shared" si="57"/>
        <v>4232.3076000000001</v>
      </c>
    </row>
    <row r="506" spans="1:10" s="276" customFormat="1" ht="28.8">
      <c r="A506" s="263"/>
      <c r="B506" s="381" t="s">
        <v>608</v>
      </c>
      <c r="C506" s="382" t="str">
        <f>COMPOSIÇÕES!A92</f>
        <v>38.06.040</v>
      </c>
      <c r="D506" s="383" t="str">
        <f>COMPOSIÇÕES!B92</f>
        <v>CDHU - BOLETIM 191</v>
      </c>
      <c r="E506" s="388" t="str">
        <f>COMPOSIÇÕES!C92</f>
        <v>Eletroduto galvanizado a quente conforme NBR5598 ‐ 3/4´ com acessórios</v>
      </c>
      <c r="F506" s="382" t="s">
        <v>412</v>
      </c>
      <c r="G506" s="316">
        <f>16*3</f>
        <v>48</v>
      </c>
      <c r="H506" s="530">
        <f>VLOOKUP(C506,COMPOSIÇÕES!A:J,6,FALSE)</f>
        <v>60.65</v>
      </c>
      <c r="I506" s="287">
        <f>COMPOSIÇÕES!$J$92</f>
        <v>72.476749999999996</v>
      </c>
      <c r="J506" s="384">
        <f t="shared" si="57"/>
        <v>3478.884</v>
      </c>
    </row>
    <row r="507" spans="1:10" s="276" customFormat="1" ht="28.8">
      <c r="A507" s="263"/>
      <c r="B507" s="381" t="s">
        <v>609</v>
      </c>
      <c r="C507" s="382" t="str">
        <f>COMPOSIÇÕES!A163</f>
        <v>38.06.160</v>
      </c>
      <c r="D507" s="383" t="str">
        <f>COMPOSIÇÕES!B163</f>
        <v>CDHU - BOLETIM 191</v>
      </c>
      <c r="E507" s="479" t="str">
        <f>COMPOSIÇÕES!C163</f>
        <v>Eletroduto galvanizado a quente conforme NBR5598 ‐ 3´ com acessórios</v>
      </c>
      <c r="F507" s="382" t="s">
        <v>412</v>
      </c>
      <c r="G507" s="316">
        <f>2*3</f>
        <v>6</v>
      </c>
      <c r="H507" s="530">
        <f>VLOOKUP(C507,COMPOSIÇÕES!A:J,6,FALSE)</f>
        <v>212.36</v>
      </c>
      <c r="I507" s="287">
        <f>COMPOSIÇÕES!$J$163</f>
        <v>253.77020000000002</v>
      </c>
      <c r="J507" s="384">
        <f t="shared" si="57"/>
        <v>1522.6212</v>
      </c>
    </row>
    <row r="508" spans="1:10" s="276" customFormat="1" ht="28.8">
      <c r="A508" s="263"/>
      <c r="B508" s="381" t="s">
        <v>1551</v>
      </c>
      <c r="C508" s="382">
        <v>91927</v>
      </c>
      <c r="D508" s="383" t="str">
        <f>COMPOSIÇÕES!B96</f>
        <v>SINAPI SP - 08/2023</v>
      </c>
      <c r="E508" s="344" t="s">
        <v>770</v>
      </c>
      <c r="F508" s="382" t="s">
        <v>412</v>
      </c>
      <c r="G508" s="316">
        <v>275</v>
      </c>
      <c r="H508" s="530">
        <f>VLOOKUP(C508,COMPOSIÇÕES!A:J,6,FALSE)</f>
        <v>4.8</v>
      </c>
      <c r="I508" s="287">
        <f>COMPOSIÇÕES!$J$96</f>
        <v>5.7359999999999998</v>
      </c>
      <c r="J508" s="384">
        <f t="shared" si="57"/>
        <v>1577.3999999999999</v>
      </c>
    </row>
    <row r="509" spans="1:10" s="276" customFormat="1" ht="28.8">
      <c r="A509" s="263"/>
      <c r="B509" s="381" t="s">
        <v>1552</v>
      </c>
      <c r="C509" s="382">
        <v>91927</v>
      </c>
      <c r="D509" s="383" t="str">
        <f t="shared" ref="D509:D511" si="58">$D$508</f>
        <v>SINAPI SP - 08/2023</v>
      </c>
      <c r="E509" s="344" t="s">
        <v>771</v>
      </c>
      <c r="F509" s="382" t="s">
        <v>412</v>
      </c>
      <c r="G509" s="316">
        <v>275</v>
      </c>
      <c r="H509" s="530">
        <f>VLOOKUP(C509,COMPOSIÇÕES!A:J,6,FALSE)</f>
        <v>4.8</v>
      </c>
      <c r="I509" s="287">
        <f>COMPOSIÇÕES!$J$96</f>
        <v>5.7359999999999998</v>
      </c>
      <c r="J509" s="384">
        <f t="shared" si="57"/>
        <v>1577.3999999999999</v>
      </c>
    </row>
    <row r="510" spans="1:10" s="276" customFormat="1" ht="28.8">
      <c r="A510" s="263"/>
      <c r="B510" s="381" t="s">
        <v>1553</v>
      </c>
      <c r="C510" s="382">
        <v>91927</v>
      </c>
      <c r="D510" s="383" t="str">
        <f t="shared" si="58"/>
        <v>SINAPI SP - 08/2023</v>
      </c>
      <c r="E510" s="344" t="s">
        <v>772</v>
      </c>
      <c r="F510" s="382" t="s">
        <v>412</v>
      </c>
      <c r="G510" s="316">
        <v>275</v>
      </c>
      <c r="H510" s="530">
        <f>VLOOKUP(C510,COMPOSIÇÕES!A:J,6,FALSE)</f>
        <v>4.8</v>
      </c>
      <c r="I510" s="287">
        <f>COMPOSIÇÕES!$J$96</f>
        <v>5.7359999999999998</v>
      </c>
      <c r="J510" s="384">
        <f t="shared" si="57"/>
        <v>1577.3999999999999</v>
      </c>
    </row>
    <row r="511" spans="1:10" s="276" customFormat="1" ht="28.8">
      <c r="A511" s="263"/>
      <c r="B511" s="381" t="s">
        <v>1554</v>
      </c>
      <c r="C511" s="382">
        <v>91927</v>
      </c>
      <c r="D511" s="383" t="str">
        <f t="shared" si="58"/>
        <v>SINAPI SP - 08/2023</v>
      </c>
      <c r="E511" s="344" t="s">
        <v>773</v>
      </c>
      <c r="F511" s="382" t="s">
        <v>412</v>
      </c>
      <c r="G511" s="316">
        <v>200</v>
      </c>
      <c r="H511" s="530">
        <f>VLOOKUP(C511,COMPOSIÇÕES!A:J,6,FALSE)</f>
        <v>4.8</v>
      </c>
      <c r="I511" s="287">
        <f>COMPOSIÇÕES!$J$96</f>
        <v>5.7359999999999998</v>
      </c>
      <c r="J511" s="384">
        <f t="shared" si="57"/>
        <v>1147.2</v>
      </c>
    </row>
    <row r="512" spans="1:10" s="276" customFormat="1" ht="28.8">
      <c r="A512" s="263"/>
      <c r="B512" s="381" t="s">
        <v>1555</v>
      </c>
      <c r="C512" s="382">
        <v>92986</v>
      </c>
      <c r="D512" s="383" t="str">
        <f>COMPOSIÇÕES!B164</f>
        <v>SINAPI SP - 08/2023</v>
      </c>
      <c r="E512" s="344" t="s">
        <v>857</v>
      </c>
      <c r="F512" s="382" t="s">
        <v>412</v>
      </c>
      <c r="G512" s="316">
        <f>7+28</f>
        <v>35</v>
      </c>
      <c r="H512" s="530">
        <f>VLOOKUP(C512,COMPOSIÇÕES!A:J,6,FALSE)</f>
        <v>32.17</v>
      </c>
      <c r="I512" s="287">
        <f>COMPOSIÇÕES!$J$164</f>
        <v>38.443150000000003</v>
      </c>
      <c r="J512" s="384">
        <f t="shared" si="57"/>
        <v>1345.51025</v>
      </c>
    </row>
    <row r="513" spans="1:10" s="276" customFormat="1">
      <c r="A513" s="263"/>
      <c r="B513" s="381" t="s">
        <v>1556</v>
      </c>
      <c r="C513" s="382" t="s">
        <v>711</v>
      </c>
      <c r="D513" s="383" t="str">
        <f>COMPOSIÇÕES!B144</f>
        <v>FDE - 07/2023</v>
      </c>
      <c r="E513" s="344" t="s">
        <v>871</v>
      </c>
      <c r="F513" s="382" t="s">
        <v>431</v>
      </c>
      <c r="G513" s="316">
        <v>15</v>
      </c>
      <c r="H513" s="530">
        <f>COMPOSIÇÕES!F144</f>
        <v>28.62</v>
      </c>
      <c r="I513" s="287">
        <f>COMPOSIÇÕES!$J$144</f>
        <v>34.200900000000004</v>
      </c>
      <c r="J513" s="384">
        <f t="shared" si="57"/>
        <v>513.01350000000002</v>
      </c>
    </row>
    <row r="514" spans="1:10" s="263" customFormat="1" ht="72">
      <c r="B514" s="381" t="s">
        <v>1557</v>
      </c>
      <c r="C514" s="275" t="s">
        <v>711</v>
      </c>
      <c r="D514" s="277" t="str">
        <f>COMPOSIÇÕES!B200</f>
        <v>CDHU - BOLETIM 191 + FDE - 07/2023 + SINAPI SP - 08/2023</v>
      </c>
      <c r="E514" s="278" t="s">
        <v>1031</v>
      </c>
      <c r="F514" s="275" t="s">
        <v>530</v>
      </c>
      <c r="G514" s="313">
        <v>1</v>
      </c>
      <c r="H514" s="301">
        <f>SUM(COMPOSIÇÕES!G201:G207)</f>
        <v>5855.2218744769871</v>
      </c>
      <c r="I514" s="286">
        <f>COMPOSIÇÕES!$J$200</f>
        <v>6996.9901399999999</v>
      </c>
      <c r="J514" s="295">
        <f t="shared" si="57"/>
        <v>6996.9901399999999</v>
      </c>
    </row>
    <row r="515" spans="1:10" s="147" customFormat="1">
      <c r="B515" s="577" t="s">
        <v>611</v>
      </c>
      <c r="C515" s="578"/>
      <c r="D515" s="578"/>
      <c r="E515" s="578"/>
      <c r="F515" s="578"/>
      <c r="G515" s="578"/>
      <c r="H515" s="578"/>
      <c r="I515" s="578"/>
      <c r="J515" s="296">
        <f>SUM(J503:J514)</f>
        <v>25448.58675829268</v>
      </c>
    </row>
    <row r="516" spans="1:10" s="263" customFormat="1">
      <c r="B516" s="237" t="s">
        <v>610</v>
      </c>
      <c r="C516" s="238"/>
      <c r="D516" s="533"/>
      <c r="E516" s="239" t="s">
        <v>650</v>
      </c>
      <c r="F516" s="238"/>
      <c r="G516" s="312"/>
      <c r="H516" s="300"/>
      <c r="I516" s="285"/>
      <c r="J516" s="294"/>
    </row>
    <row r="517" spans="1:10" s="276" customFormat="1">
      <c r="A517" s="263"/>
      <c r="B517" s="381" t="s">
        <v>615</v>
      </c>
      <c r="C517" s="382" t="s">
        <v>708</v>
      </c>
      <c r="D517" s="383" t="str">
        <f>COMPOSIÇÕES!B115</f>
        <v>FDE - 07/2023</v>
      </c>
      <c r="E517" s="344" t="s">
        <v>651</v>
      </c>
      <c r="F517" s="382" t="s">
        <v>541</v>
      </c>
      <c r="G517" s="316">
        <v>100</v>
      </c>
      <c r="H517" s="290">
        <f>COMPOSIÇÕES!$G$116</f>
        <v>5.116260162601626</v>
      </c>
      <c r="I517" s="287">
        <f>COMPOSIÇÕES!$J$115</f>
        <v>6.1139308943089432</v>
      </c>
      <c r="J517" s="384">
        <f>G517*I517</f>
        <v>611.39308943089429</v>
      </c>
    </row>
    <row r="518" spans="1:10" s="263" customFormat="1">
      <c r="B518" s="577" t="s">
        <v>614</v>
      </c>
      <c r="C518" s="578"/>
      <c r="D518" s="578"/>
      <c r="E518" s="578"/>
      <c r="F518" s="578"/>
      <c r="G518" s="578"/>
      <c r="H518" s="578"/>
      <c r="I518" s="578"/>
      <c r="J518" s="296">
        <f>J517</f>
        <v>611.39308943089429</v>
      </c>
    </row>
    <row r="519" spans="1:10" s="261" customFormat="1" ht="25.5" customHeight="1" thickBot="1">
      <c r="B519" s="564" t="s">
        <v>603</v>
      </c>
      <c r="C519" s="565"/>
      <c r="D519" s="565"/>
      <c r="E519" s="565"/>
      <c r="F519" s="565"/>
      <c r="G519" s="565"/>
      <c r="H519" s="565"/>
      <c r="I519" s="566"/>
      <c r="J519" s="297">
        <f>J482+J501+J515+J518</f>
        <v>72915.555399064819</v>
      </c>
    </row>
    <row r="520" spans="1:10" s="147" customFormat="1">
      <c r="B520" s="264" t="s">
        <v>497</v>
      </c>
      <c r="C520" s="265"/>
      <c r="D520" s="534"/>
      <c r="E520" s="266" t="s">
        <v>531</v>
      </c>
      <c r="F520" s="265"/>
      <c r="G520" s="310"/>
      <c r="H520" s="298"/>
      <c r="I520" s="283"/>
      <c r="J520" s="292"/>
    </row>
    <row r="521" spans="1:10" s="147" customFormat="1" ht="6" customHeight="1">
      <c r="B521" s="234"/>
      <c r="C521" s="235"/>
      <c r="D521" s="532"/>
      <c r="E521" s="236"/>
      <c r="F521" s="235"/>
      <c r="G521" s="311"/>
      <c r="H521" s="299"/>
      <c r="I521" s="284"/>
      <c r="J521" s="293"/>
    </row>
    <row r="522" spans="1:10" s="261" customFormat="1">
      <c r="B522" s="237" t="s">
        <v>1559</v>
      </c>
      <c r="C522" s="238"/>
      <c r="D522" s="533"/>
      <c r="E522" s="239" t="s">
        <v>483</v>
      </c>
      <c r="F522" s="238"/>
      <c r="G522" s="312"/>
      <c r="H522" s="300"/>
      <c r="I522" s="285"/>
      <c r="J522" s="294"/>
    </row>
    <row r="523" spans="1:10" s="150" customFormat="1">
      <c r="B523" s="381" t="s">
        <v>1560</v>
      </c>
      <c r="C523" s="382" t="s">
        <v>699</v>
      </c>
      <c r="D523" s="317" t="str">
        <f t="shared" ref="D523:I524" si="59">D480</f>
        <v>FDE - 07/2023</v>
      </c>
      <c r="E523" s="481" t="str">
        <f t="shared" si="59"/>
        <v>FORNECIMENTO E INSTALAÇAO DE PLACAS DE OBRA</v>
      </c>
      <c r="F523" s="316" t="str">
        <f t="shared" si="59"/>
        <v>M²</v>
      </c>
      <c r="G523" s="316">
        <f t="shared" si="59"/>
        <v>5</v>
      </c>
      <c r="H523" s="290">
        <f t="shared" si="59"/>
        <v>407.8057</v>
      </c>
      <c r="I523" s="287">
        <f t="shared" si="59"/>
        <v>487.3278115</v>
      </c>
      <c r="J523" s="384">
        <f>G523*I523</f>
        <v>2436.6390575</v>
      </c>
    </row>
    <row r="524" spans="1:10" s="150" customFormat="1" ht="28.8">
      <c r="B524" s="381" t="s">
        <v>1561</v>
      </c>
      <c r="C524" s="382">
        <v>37524</v>
      </c>
      <c r="D524" s="317" t="str">
        <f t="shared" si="59"/>
        <v>SINAPI SP - 08/2023</v>
      </c>
      <c r="E524" s="482" t="str">
        <f t="shared" si="59"/>
        <v>ISOLAMENTO DE OBRA COM TELA PLASTICA COM MALHA DE 5MM E ESTRUTURA DE MADEIRA PONTALETEADA</v>
      </c>
      <c r="F524" s="316" t="str">
        <f t="shared" si="59"/>
        <v>M²</v>
      </c>
      <c r="G524" s="316">
        <f t="shared" si="59"/>
        <v>40</v>
      </c>
      <c r="H524" s="290">
        <f t="shared" si="59"/>
        <v>2</v>
      </c>
      <c r="I524" s="287">
        <f t="shared" si="59"/>
        <v>2.39</v>
      </c>
      <c r="J524" s="384">
        <f>G524*I524</f>
        <v>95.600000000000009</v>
      </c>
    </row>
    <row r="525" spans="1:10" s="261" customFormat="1">
      <c r="B525" s="577" t="s">
        <v>1612</v>
      </c>
      <c r="C525" s="578"/>
      <c r="D525" s="578"/>
      <c r="E525" s="578"/>
      <c r="F525" s="578"/>
      <c r="G525" s="578"/>
      <c r="H525" s="578"/>
      <c r="I525" s="578"/>
      <c r="J525" s="296">
        <f>SUM(J523:J524)</f>
        <v>2532.2390574999999</v>
      </c>
    </row>
    <row r="526" spans="1:10" s="147" customFormat="1">
      <c r="B526" s="237" t="s">
        <v>1562</v>
      </c>
      <c r="C526" s="238"/>
      <c r="D526" s="533"/>
      <c r="E526" s="239" t="s">
        <v>525</v>
      </c>
      <c r="F526" s="238"/>
      <c r="G526" s="312"/>
      <c r="H526" s="300"/>
      <c r="I526" s="285"/>
      <c r="J526" s="294"/>
    </row>
    <row r="527" spans="1:10" s="276" customFormat="1" ht="28.8">
      <c r="B527" s="381" t="s">
        <v>1563</v>
      </c>
      <c r="C527" s="382" t="s">
        <v>711</v>
      </c>
      <c r="D527" s="383" t="str">
        <f>COMPOSIÇÕES!B10</f>
        <v>SINAPI SP - 08/2023</v>
      </c>
      <c r="E527" s="487" t="s">
        <v>2404</v>
      </c>
      <c r="F527" s="382" t="s">
        <v>431</v>
      </c>
      <c r="G527" s="315">
        <v>15</v>
      </c>
      <c r="H527" s="290">
        <f>SUM(COMPOSIÇÕES!G11:G13)</f>
        <v>328.17395199999999</v>
      </c>
      <c r="I527" s="287">
        <f>COMPOSIÇÕES!J10</f>
        <v>392.16787263999993</v>
      </c>
      <c r="J527" s="384">
        <f t="shared" ref="J527" si="60">G527*I527</f>
        <v>5882.5180895999993</v>
      </c>
    </row>
    <row r="528" spans="1:10" s="150" customFormat="1" ht="86.4">
      <c r="B528" s="381" t="s">
        <v>1564</v>
      </c>
      <c r="C528" s="382" t="s">
        <v>711</v>
      </c>
      <c r="D528" s="383" t="str">
        <f>COMPOSIÇÕES!B14</f>
        <v>SINAPI SP - 08/2023</v>
      </c>
      <c r="E528" s="344" t="s">
        <v>754</v>
      </c>
      <c r="F528" s="382" t="s">
        <v>412</v>
      </c>
      <c r="G528" s="317">
        <v>11</v>
      </c>
      <c r="H528" s="290">
        <f>SUM(COMPOSIÇÕES!G15:G18)</f>
        <v>37.264400000000002</v>
      </c>
      <c r="I528" s="287">
        <f>COMPOSIÇÕES!$J$14</f>
        <v>44.530958000000005</v>
      </c>
      <c r="J528" s="384">
        <f>G528*I528</f>
        <v>489.84053800000004</v>
      </c>
    </row>
    <row r="529" spans="1:10" s="150" customFormat="1" ht="86.4">
      <c r="B529" s="381" t="s">
        <v>1565</v>
      </c>
      <c r="C529" s="382" t="s">
        <v>711</v>
      </c>
      <c r="D529" s="383" t="str">
        <f>COMPOSIÇÕES!B19</f>
        <v>SINAPI SP - 08/2023</v>
      </c>
      <c r="E529" s="344" t="s">
        <v>755</v>
      </c>
      <c r="F529" s="382" t="s">
        <v>412</v>
      </c>
      <c r="G529" s="317">
        <v>11</v>
      </c>
      <c r="H529" s="290">
        <f>SUM(COMPOSIÇÕES!G20:G23)</f>
        <v>69.234999999999985</v>
      </c>
      <c r="I529" s="287">
        <f>COMPOSIÇÕES!$J$19</f>
        <v>82.735824999999991</v>
      </c>
      <c r="J529" s="384">
        <f t="shared" ref="J529:J543" si="61">G529*I529</f>
        <v>910.09407499999986</v>
      </c>
    </row>
    <row r="530" spans="1:10" s="150" customFormat="1" ht="86.4">
      <c r="B530" s="381" t="s">
        <v>1566</v>
      </c>
      <c r="C530" s="382" t="s">
        <v>711</v>
      </c>
      <c r="D530" s="383" t="str">
        <f>COMPOSIÇÕES!B117</f>
        <v>SINAPI SP - 08/2023</v>
      </c>
      <c r="E530" s="344" t="s">
        <v>804</v>
      </c>
      <c r="F530" s="382" t="s">
        <v>412</v>
      </c>
      <c r="G530" s="317">
        <v>50</v>
      </c>
      <c r="H530" s="290">
        <f>SUM(COMPOSIÇÕES!G118:G121)</f>
        <v>94.308000000000007</v>
      </c>
      <c r="I530" s="287">
        <f>COMPOSIÇÕES!$J$117</f>
        <v>112.69806</v>
      </c>
      <c r="J530" s="384">
        <f t="shared" si="61"/>
        <v>5634.9030000000002</v>
      </c>
    </row>
    <row r="531" spans="1:10" s="150" customFormat="1" ht="86.4">
      <c r="B531" s="381" t="s">
        <v>1567</v>
      </c>
      <c r="C531" s="382" t="s">
        <v>711</v>
      </c>
      <c r="D531" s="383" t="s">
        <v>2471</v>
      </c>
      <c r="E531" s="344" t="s">
        <v>747</v>
      </c>
      <c r="F531" s="382" t="s">
        <v>412</v>
      </c>
      <c r="G531" s="317">
        <v>6</v>
      </c>
      <c r="H531" s="290">
        <f>SUM(COMPOSIÇÕES!$G$25:$G$26)</f>
        <v>24.292000000000002</v>
      </c>
      <c r="I531" s="287">
        <f>COMPOSIÇÕES!$J$24</f>
        <v>63.719789999999996</v>
      </c>
      <c r="J531" s="384">
        <f t="shared" si="61"/>
        <v>382.31873999999999</v>
      </c>
    </row>
    <row r="532" spans="1:10" s="393" customFormat="1" ht="86.4">
      <c r="A532" s="150"/>
      <c r="B532" s="381" t="s">
        <v>1568</v>
      </c>
      <c r="C532" s="394" t="s">
        <v>711</v>
      </c>
      <c r="D532" s="389" t="str">
        <f>COMPOSIÇÕES!B29</f>
        <v xml:space="preserve">SINAPI SP - 08/2023 </v>
      </c>
      <c r="E532" s="395" t="s">
        <v>748</v>
      </c>
      <c r="F532" s="394" t="s">
        <v>412</v>
      </c>
      <c r="G532" s="315">
        <v>40</v>
      </c>
      <c r="H532" s="392">
        <f>SUM(COMPOSIÇÕES!G30:G33)</f>
        <v>85.438000000000002</v>
      </c>
      <c r="I532" s="396">
        <f>COMPOSIÇÕES!$J$29</f>
        <v>102.09840999999999</v>
      </c>
      <c r="J532" s="397">
        <f t="shared" si="61"/>
        <v>4083.9363999999996</v>
      </c>
    </row>
    <row r="533" spans="1:10" s="276" customFormat="1" ht="86.4">
      <c r="B533" s="381" t="s">
        <v>1569</v>
      </c>
      <c r="C533" s="383" t="str">
        <f>COMPOSIÇÕES!A34</f>
        <v>46.32.005</v>
      </c>
      <c r="D533" s="383" t="str">
        <f>COMPOSIÇÕES!B34</f>
        <v>CDHU - BOLETIM 191</v>
      </c>
      <c r="E533" s="344" t="s">
        <v>753</v>
      </c>
      <c r="F533" s="382" t="s">
        <v>412</v>
      </c>
      <c r="G533" s="317">
        <v>3</v>
      </c>
      <c r="H533" s="290">
        <f>SUM(COMPOSIÇÕES!G35)</f>
        <v>153.47</v>
      </c>
      <c r="I533" s="287">
        <f>COMPOSIÇÕES!$J$34</f>
        <v>183.39664999999999</v>
      </c>
      <c r="J533" s="384">
        <f t="shared" si="61"/>
        <v>550.18994999999995</v>
      </c>
    </row>
    <row r="534" spans="1:10" s="276" customFormat="1" ht="28.8">
      <c r="B534" s="381" t="s">
        <v>1570</v>
      </c>
      <c r="C534" s="383" t="str">
        <f t="shared" ref="C534:I534" si="62">C487</f>
        <v>22.02.030</v>
      </c>
      <c r="D534" s="383" t="str">
        <f t="shared" si="62"/>
        <v>CDHU - BOLETIM 191</v>
      </c>
      <c r="E534" s="488" t="str">
        <f t="shared" si="62"/>
        <v>Forro em painéis de gesso acartonado, espessura de 12,5mm, fixo</v>
      </c>
      <c r="F534" s="382" t="str">
        <f t="shared" si="62"/>
        <v>M²</v>
      </c>
      <c r="G534" s="317">
        <f>8*0.55*2*9</f>
        <v>79.2</v>
      </c>
      <c r="H534" s="290">
        <f t="shared" si="62"/>
        <v>99.47</v>
      </c>
      <c r="I534" s="287">
        <f t="shared" si="62"/>
        <v>118.86664999999999</v>
      </c>
      <c r="J534" s="384">
        <f t="shared" si="61"/>
        <v>9414.2386800000004</v>
      </c>
    </row>
    <row r="535" spans="1:10" s="150" customFormat="1" ht="57.6">
      <c r="B535" s="381" t="s">
        <v>1571</v>
      </c>
      <c r="C535" s="382" t="s">
        <v>711</v>
      </c>
      <c r="D535" s="383" t="str">
        <f>COMPOSIÇÕES!B36</f>
        <v xml:space="preserve">SINAPI SP - 08/2023 </v>
      </c>
      <c r="E535" s="398" t="s">
        <v>756</v>
      </c>
      <c r="F535" s="382" t="s">
        <v>413</v>
      </c>
      <c r="G535" s="315">
        <v>335</v>
      </c>
      <c r="H535" s="287">
        <f>SUM(COMPOSIÇÕES!G37:G39)</f>
        <v>84.94</v>
      </c>
      <c r="I535" s="287">
        <f>COMPOSIÇÕES!$J$36</f>
        <v>101.5033</v>
      </c>
      <c r="J535" s="384">
        <f t="shared" si="61"/>
        <v>34003.605499999998</v>
      </c>
    </row>
    <row r="536" spans="1:10" s="335" customFormat="1" ht="28.8">
      <c r="A536" s="150"/>
      <c r="B536" s="381" t="s">
        <v>1572</v>
      </c>
      <c r="C536" s="383" t="str">
        <f>COMPOSIÇÕES!A44</f>
        <v>61.10.565</v>
      </c>
      <c r="D536" s="383" t="str">
        <f>COMPOSIÇÕES!B44</f>
        <v>CDHU - BOLETIM 191</v>
      </c>
      <c r="E536" s="388" t="s">
        <v>1042</v>
      </c>
      <c r="F536" s="382" t="s">
        <v>431</v>
      </c>
      <c r="G536" s="315">
        <v>6</v>
      </c>
      <c r="H536" s="287">
        <f>SUM(COMPOSIÇÕES!G45)</f>
        <v>248.91654375000002</v>
      </c>
      <c r="I536" s="287">
        <f>COMPOSIÇÕES!$J$44</f>
        <v>297.45526978125002</v>
      </c>
      <c r="J536" s="384">
        <f t="shared" si="61"/>
        <v>1784.7316186875</v>
      </c>
    </row>
    <row r="537" spans="1:10" s="335" customFormat="1" ht="28.8">
      <c r="A537" s="150"/>
      <c r="B537" s="381" t="s">
        <v>1573</v>
      </c>
      <c r="C537" s="383" t="str">
        <f>COMPOSIÇÕES!A46</f>
        <v>61.10.564</v>
      </c>
      <c r="D537" s="383" t="str">
        <f>COMPOSIÇÕES!B46</f>
        <v>CDHU - BOLETIM 191</v>
      </c>
      <c r="E537" s="388" t="s">
        <v>1043</v>
      </c>
      <c r="F537" s="382" t="s">
        <v>431</v>
      </c>
      <c r="G537" s="315">
        <v>1</v>
      </c>
      <c r="H537" s="287">
        <f>COMPOSIÇÕES!G47</f>
        <v>49.947131250000005</v>
      </c>
      <c r="I537" s="287">
        <f>COMPOSIÇÕES!$J$46</f>
        <v>59.68682184375001</v>
      </c>
      <c r="J537" s="384">
        <f t="shared" si="61"/>
        <v>59.68682184375001</v>
      </c>
    </row>
    <row r="538" spans="1:10" s="335" customFormat="1" ht="28.8">
      <c r="A538" s="150"/>
      <c r="B538" s="381" t="s">
        <v>1574</v>
      </c>
      <c r="C538" s="383" t="str">
        <f>COMPOSIÇÕES!A48</f>
        <v>61.10.564</v>
      </c>
      <c r="D538" s="383" t="str">
        <f>COMPOSIÇÕES!B48</f>
        <v>CDHU - BOLETIM 191</v>
      </c>
      <c r="E538" s="388" t="s">
        <v>1044</v>
      </c>
      <c r="F538" s="382" t="s">
        <v>431</v>
      </c>
      <c r="G538" s="315">
        <v>1</v>
      </c>
      <c r="H538" s="287">
        <f>COMPOSIÇÕES!G49</f>
        <v>82.875240000000005</v>
      </c>
      <c r="I538" s="287">
        <f>COMPOSIÇÕES!$J$48</f>
        <v>99.035911800000008</v>
      </c>
      <c r="J538" s="384">
        <f t="shared" si="61"/>
        <v>99.035911800000008</v>
      </c>
    </row>
    <row r="539" spans="1:10" s="150" customFormat="1" ht="28.8">
      <c r="B539" s="381" t="s">
        <v>1575</v>
      </c>
      <c r="C539" s="383" t="str">
        <f>COMPOSIÇÕES!A122</f>
        <v>61.10.581</v>
      </c>
      <c r="D539" s="383" t="str">
        <f>COMPOSIÇÕES!B122</f>
        <v>CDHU - BOLETIM 191</v>
      </c>
      <c r="E539" s="388" t="s">
        <v>809</v>
      </c>
      <c r="F539" s="382" t="s">
        <v>431</v>
      </c>
      <c r="G539" s="317">
        <v>1</v>
      </c>
      <c r="H539" s="287">
        <f>SUM(COMPOSIÇÕES!$G$123:$G$123)</f>
        <v>33.890000000000008</v>
      </c>
      <c r="I539" s="287">
        <f>COMPOSIÇÕES!$J$122</f>
        <v>40.498550000000009</v>
      </c>
      <c r="J539" s="384">
        <f t="shared" si="61"/>
        <v>40.498550000000009</v>
      </c>
    </row>
    <row r="540" spans="1:10" s="150" customFormat="1" ht="28.8">
      <c r="B540" s="381" t="s">
        <v>1576</v>
      </c>
      <c r="C540" s="383" t="str">
        <f>COMPOSIÇÕES!A124</f>
        <v>61.10.581</v>
      </c>
      <c r="D540" s="383" t="str">
        <f>COMPOSIÇÕES!B124</f>
        <v>CDHU - BOLETIM 191</v>
      </c>
      <c r="E540" s="388" t="s">
        <v>1119</v>
      </c>
      <c r="F540" s="382" t="s">
        <v>431</v>
      </c>
      <c r="G540" s="317">
        <v>4</v>
      </c>
      <c r="H540" s="287">
        <f>SUM(COMPOSIÇÕES!$G$125:$G$125)</f>
        <v>203.34</v>
      </c>
      <c r="I540" s="287">
        <f>COMPOSIÇÕES!$J$124</f>
        <v>242.9913</v>
      </c>
      <c r="J540" s="384">
        <f t="shared" si="61"/>
        <v>971.96519999999998</v>
      </c>
    </row>
    <row r="541" spans="1:10" s="150" customFormat="1" ht="28.8">
      <c r="B541" s="381" t="s">
        <v>1577</v>
      </c>
      <c r="C541" s="383" t="str">
        <f>COMPOSIÇÕES!A56</f>
        <v>61.10.581</v>
      </c>
      <c r="D541" s="383" t="str">
        <f>COMPOSIÇÕES!B56</f>
        <v>CDHU - BOLETIM 191</v>
      </c>
      <c r="E541" s="388" t="s">
        <v>1117</v>
      </c>
      <c r="F541" s="382" t="s">
        <v>431</v>
      </c>
      <c r="G541" s="315">
        <v>1</v>
      </c>
      <c r="H541" s="287">
        <f>COMPOSIÇÕES!G57</f>
        <v>16.945000000000004</v>
      </c>
      <c r="I541" s="287">
        <f>COMPOSIÇÕES!$J$56</f>
        <v>20.249275000000004</v>
      </c>
      <c r="J541" s="384">
        <f t="shared" si="61"/>
        <v>20.249275000000004</v>
      </c>
    </row>
    <row r="542" spans="1:10" s="150" customFormat="1" ht="28.8">
      <c r="B542" s="381" t="s">
        <v>1578</v>
      </c>
      <c r="C542" s="383" t="str">
        <f>COMPOSIÇÕES!A52</f>
        <v>61.10.581</v>
      </c>
      <c r="D542" s="383" t="str">
        <f>COMPOSIÇÕES!B52</f>
        <v>CDHU - BOLETIM 191</v>
      </c>
      <c r="E542" s="388" t="s">
        <v>1120</v>
      </c>
      <c r="F542" s="382" t="s">
        <v>431</v>
      </c>
      <c r="G542" s="315">
        <v>3</v>
      </c>
      <c r="H542" s="287">
        <f>COMPOSIÇÕES!G53</f>
        <v>190.63124999999999</v>
      </c>
      <c r="I542" s="287">
        <f>COMPOSIÇÕES!$J$52</f>
        <v>227.80434374999999</v>
      </c>
      <c r="J542" s="384">
        <f t="shared" si="61"/>
        <v>683.4130312499999</v>
      </c>
    </row>
    <row r="543" spans="1:10" s="150" customFormat="1" ht="28.8">
      <c r="A543" s="271"/>
      <c r="B543" s="381" t="s">
        <v>1579</v>
      </c>
      <c r="C543" s="382" t="s">
        <v>711</v>
      </c>
      <c r="D543" s="383" t="str">
        <f>COMPOSIÇÕES!B58</f>
        <v xml:space="preserve">SINAPI SP - 08/2023 </v>
      </c>
      <c r="E543" s="388" t="s">
        <v>758</v>
      </c>
      <c r="F543" s="382" t="s">
        <v>412</v>
      </c>
      <c r="G543" s="315">
        <v>100</v>
      </c>
      <c r="H543" s="287">
        <f>COMPOSIÇÕES!G59+COMPOSIÇÕES!G60+COMPOSIÇÕES!G61</f>
        <v>31.499000000000002</v>
      </c>
      <c r="I543" s="287">
        <f>COMPOSIÇÕES!$J$58</f>
        <v>37.641304999999996</v>
      </c>
      <c r="J543" s="384">
        <f t="shared" si="61"/>
        <v>3764.1304999999998</v>
      </c>
    </row>
    <row r="544" spans="1:10" s="150" customFormat="1" ht="28.8">
      <c r="A544" s="271"/>
      <c r="B544" s="381" t="s">
        <v>1580</v>
      </c>
      <c r="C544" s="382" t="s">
        <v>711</v>
      </c>
      <c r="D544" s="383" t="str">
        <f>COMPOSIÇÕES!B64</f>
        <v>SINAPI SP - 08/2023</v>
      </c>
      <c r="E544" s="388" t="s">
        <v>697</v>
      </c>
      <c r="F544" s="382" t="s">
        <v>431</v>
      </c>
      <c r="G544" s="315">
        <v>15</v>
      </c>
      <c r="H544" s="287">
        <f>SUM(COMPOSIÇÕES!$G$65:$G$67)</f>
        <v>92.32</v>
      </c>
      <c r="I544" s="287">
        <f>COMPOSIÇÕES!$J$64</f>
        <v>110.32240000000002</v>
      </c>
      <c r="J544" s="384">
        <f t="shared" ref="J544:J548" si="63">I544*G544</f>
        <v>1654.8360000000002</v>
      </c>
    </row>
    <row r="545" spans="1:10" s="150" customFormat="1" ht="28.8">
      <c r="A545" s="271"/>
      <c r="B545" s="381" t="s">
        <v>1581</v>
      </c>
      <c r="C545" s="382" t="s">
        <v>711</v>
      </c>
      <c r="D545" s="383" t="str">
        <f>COMPOSIÇÕES!B68</f>
        <v xml:space="preserve">SINAPI SP - 08/2023 </v>
      </c>
      <c r="E545" s="388" t="s">
        <v>762</v>
      </c>
      <c r="F545" s="382" t="s">
        <v>415</v>
      </c>
      <c r="G545" s="315">
        <v>1</v>
      </c>
      <c r="H545" s="287">
        <f>SUM(COMPOSIÇÕES!$G$69:$G$70)</f>
        <v>58.91</v>
      </c>
      <c r="I545" s="287">
        <f>COMPOSIÇÕES!$J$68</f>
        <v>70.397449999999992</v>
      </c>
      <c r="J545" s="384">
        <f t="shared" si="63"/>
        <v>70.397449999999992</v>
      </c>
    </row>
    <row r="546" spans="1:10" s="150" customFormat="1" ht="28.8">
      <c r="A546" s="271"/>
      <c r="B546" s="381" t="s">
        <v>1582</v>
      </c>
      <c r="C546" s="399" t="s">
        <v>763</v>
      </c>
      <c r="D546" s="273" t="str">
        <f>COMPOSIÇÕES!B71</f>
        <v xml:space="preserve">SINAPI SP - 08/2023 </v>
      </c>
      <c r="E546" s="400" t="s">
        <v>761</v>
      </c>
      <c r="F546" s="273" t="s">
        <v>541</v>
      </c>
      <c r="G546" s="316">
        <v>2</v>
      </c>
      <c r="H546" s="287">
        <f>SUM(COMPOSIÇÕES!$G$72:$G$72)</f>
        <v>28.8</v>
      </c>
      <c r="I546" s="287">
        <f>COMPOSIÇÕES!$J$71</f>
        <v>34.416000000000004</v>
      </c>
      <c r="J546" s="384">
        <f t="shared" si="63"/>
        <v>68.832000000000008</v>
      </c>
    </row>
    <row r="547" spans="1:10" s="150" customFormat="1">
      <c r="A547" s="271"/>
      <c r="B547" s="381" t="s">
        <v>2411</v>
      </c>
      <c r="C547" s="399" t="s">
        <v>759</v>
      </c>
      <c r="D547" s="273" t="str">
        <f>COMPOSIÇÕES!B73</f>
        <v>FDE - 07/2023</v>
      </c>
      <c r="E547" s="400" t="s">
        <v>760</v>
      </c>
      <c r="F547" s="273" t="s">
        <v>701</v>
      </c>
      <c r="G547" s="316">
        <v>1</v>
      </c>
      <c r="H547" s="530">
        <f>VLOOKUP(C547,COMPOSIÇÕES!A:J,6,FALSE)</f>
        <v>38.485355648535567</v>
      </c>
      <c r="I547" s="287">
        <f>COMPOSIÇÕES!$J$73</f>
        <v>45.99</v>
      </c>
      <c r="J547" s="384">
        <f t="shared" si="63"/>
        <v>45.99</v>
      </c>
    </row>
    <row r="548" spans="1:10" s="150" customFormat="1">
      <c r="A548" s="271"/>
      <c r="B548" s="381" t="s">
        <v>2443</v>
      </c>
      <c r="C548" s="399" t="s">
        <v>764</v>
      </c>
      <c r="D548" s="273" t="str">
        <f>COMPOSIÇÕES!B74</f>
        <v>FDE - 07/2023</v>
      </c>
      <c r="E548" s="400" t="s">
        <v>765</v>
      </c>
      <c r="F548" s="273" t="s">
        <v>541</v>
      </c>
      <c r="G548" s="316">
        <v>3</v>
      </c>
      <c r="H548" s="530">
        <f>VLOOKUP(C548,COMPOSIÇÕES!A:J,6,FALSE)</f>
        <v>210.81171548117152</v>
      </c>
      <c r="I548" s="287">
        <f>COMPOSIÇÕES!$J$74</f>
        <v>251.91999999999996</v>
      </c>
      <c r="J548" s="384">
        <f t="shared" si="63"/>
        <v>755.75999999999988</v>
      </c>
    </row>
    <row r="549" spans="1:10" s="261" customFormat="1">
      <c r="B549" s="577" t="s">
        <v>1613</v>
      </c>
      <c r="C549" s="578"/>
      <c r="D549" s="578"/>
      <c r="E549" s="578"/>
      <c r="F549" s="578"/>
      <c r="G549" s="578"/>
      <c r="H549" s="578"/>
      <c r="I549" s="578"/>
      <c r="J549" s="296">
        <f>SUM(J527:J548)</f>
        <v>71371.171331181249</v>
      </c>
    </row>
    <row r="550" spans="1:10" s="147" customFormat="1">
      <c r="B550" s="237" t="s">
        <v>617</v>
      </c>
      <c r="C550" s="238"/>
      <c r="D550" s="533"/>
      <c r="E550" s="239" t="s">
        <v>526</v>
      </c>
      <c r="F550" s="238"/>
      <c r="G550" s="312"/>
      <c r="H550" s="300"/>
      <c r="I550" s="285"/>
      <c r="J550" s="294"/>
    </row>
    <row r="551" spans="1:10" s="276" customFormat="1">
      <c r="A551" s="263"/>
      <c r="B551" s="381" t="s">
        <v>618</v>
      </c>
      <c r="C551" s="382" t="s">
        <v>711</v>
      </c>
      <c r="D551" s="383" t="str">
        <f>COMPOSIÇÕES!B75</f>
        <v>FDE - 07/2023</v>
      </c>
      <c r="E551" s="344" t="s">
        <v>745</v>
      </c>
      <c r="F551" s="382" t="s">
        <v>431</v>
      </c>
      <c r="G551" s="316">
        <v>75</v>
      </c>
      <c r="H551" s="290">
        <f>SUM(COMPOSIÇÕES!G76:G78)</f>
        <v>34.013252032520327</v>
      </c>
      <c r="I551" s="287">
        <f>COMPOSIÇÕES!$J$75</f>
        <v>40.645836178861792</v>
      </c>
      <c r="J551" s="384">
        <f t="shared" ref="J551:J564" si="64">G551*I551</f>
        <v>3048.4377134146343</v>
      </c>
    </row>
    <row r="552" spans="1:10" s="276" customFormat="1" ht="43.2">
      <c r="A552" s="263"/>
      <c r="B552" s="381" t="s">
        <v>1583</v>
      </c>
      <c r="C552" s="382" t="s">
        <v>711</v>
      </c>
      <c r="D552" s="383" t="str">
        <f>COMPOSIÇÕES!B79</f>
        <v>FDE - 07/2023 + SINAPI SP - 08/2023</v>
      </c>
      <c r="E552" s="344" t="s">
        <v>742</v>
      </c>
      <c r="F552" s="382" t="s">
        <v>431</v>
      </c>
      <c r="G552" s="316">
        <v>8</v>
      </c>
      <c r="H552" s="290">
        <f>SUM(COMPOSIÇÕES!G80:G82)</f>
        <v>6.9960000000000004</v>
      </c>
      <c r="I552" s="287">
        <f>COMPOSIÇÕES!$J$79</f>
        <v>8.36022</v>
      </c>
      <c r="J552" s="384">
        <f t="shared" si="64"/>
        <v>66.88176</v>
      </c>
    </row>
    <row r="553" spans="1:10" s="276" customFormat="1" ht="28.8">
      <c r="A553" s="263"/>
      <c r="B553" s="381" t="s">
        <v>619</v>
      </c>
      <c r="C553" s="382" t="s">
        <v>711</v>
      </c>
      <c r="D553" s="383" t="str">
        <f>COMPOSIÇÕES!B136</f>
        <v>FDE - 07/2023</v>
      </c>
      <c r="E553" s="344" t="s">
        <v>816</v>
      </c>
      <c r="F553" s="382" t="s">
        <v>431</v>
      </c>
      <c r="G553" s="316">
        <v>1</v>
      </c>
      <c r="H553" s="290">
        <f>SUM(COMPOSIÇÕES!G137:G139)</f>
        <v>28.625999999999998</v>
      </c>
      <c r="I553" s="287">
        <f>COMPOSIÇÕES!$J$136</f>
        <v>34.208069999999999</v>
      </c>
      <c r="J553" s="384">
        <f t="shared" si="64"/>
        <v>34.208069999999999</v>
      </c>
    </row>
    <row r="554" spans="1:10" s="276" customFormat="1">
      <c r="A554" s="263"/>
      <c r="B554" s="381" t="s">
        <v>1584</v>
      </c>
      <c r="C554" s="382" t="s">
        <v>739</v>
      </c>
      <c r="D554" s="383" t="str">
        <f>COMPOSIÇÕES!B83</f>
        <v>FDE - 07/2023</v>
      </c>
      <c r="E554" s="344" t="s">
        <v>766</v>
      </c>
      <c r="F554" s="382" t="s">
        <v>431</v>
      </c>
      <c r="G554" s="316">
        <v>20</v>
      </c>
      <c r="H554" s="530">
        <f>VLOOKUP(C554,COMPOSIÇÕES!A:J,6,FALSE)</f>
        <v>32.35146443514644</v>
      </c>
      <c r="I554" s="287">
        <f>COMPOSIÇÕES!$J$83</f>
        <v>38.659999999999997</v>
      </c>
      <c r="J554" s="384">
        <f t="shared" si="64"/>
        <v>773.19999999999993</v>
      </c>
    </row>
    <row r="555" spans="1:10" s="276" customFormat="1">
      <c r="A555" s="263"/>
      <c r="B555" s="381" t="s">
        <v>1585</v>
      </c>
      <c r="C555" s="382" t="s">
        <v>739</v>
      </c>
      <c r="D555" s="383" t="str">
        <f t="shared" ref="D555:D556" si="65">$D$554</f>
        <v>FDE - 07/2023</v>
      </c>
      <c r="E555" s="344" t="s">
        <v>767</v>
      </c>
      <c r="F555" s="382" t="s">
        <v>431</v>
      </c>
      <c r="G555" s="316">
        <v>8</v>
      </c>
      <c r="H555" s="530">
        <f>VLOOKUP(C555,COMPOSIÇÕES!A:J,6,FALSE)</f>
        <v>32.35146443514644</v>
      </c>
      <c r="I555" s="287">
        <f>COMPOSIÇÕES!$J$83</f>
        <v>38.659999999999997</v>
      </c>
      <c r="J555" s="384">
        <f t="shared" si="64"/>
        <v>309.27999999999997</v>
      </c>
    </row>
    <row r="556" spans="1:10" s="276" customFormat="1">
      <c r="A556" s="263"/>
      <c r="B556" s="381" t="s">
        <v>1586</v>
      </c>
      <c r="C556" s="382" t="s">
        <v>739</v>
      </c>
      <c r="D556" s="383" t="str">
        <f t="shared" si="65"/>
        <v>FDE - 07/2023</v>
      </c>
      <c r="E556" s="344" t="s">
        <v>768</v>
      </c>
      <c r="F556" s="382" t="s">
        <v>431</v>
      </c>
      <c r="G556" s="316">
        <v>9</v>
      </c>
      <c r="H556" s="530">
        <f>VLOOKUP(C556,COMPOSIÇÕES!A:J,6,FALSE)</f>
        <v>32.35146443514644</v>
      </c>
      <c r="I556" s="287">
        <f>COMPOSIÇÕES!$J$83</f>
        <v>38.659999999999997</v>
      </c>
      <c r="J556" s="384">
        <f t="shared" si="64"/>
        <v>347.93999999999994</v>
      </c>
    </row>
    <row r="557" spans="1:10" s="276" customFormat="1">
      <c r="A557" s="263"/>
      <c r="B557" s="381" t="s">
        <v>1587</v>
      </c>
      <c r="C557" s="382" t="s">
        <v>738</v>
      </c>
      <c r="D557" s="383" t="str">
        <f>COMPOSIÇÕES!B84</f>
        <v>FDE - 07/2023</v>
      </c>
      <c r="E557" s="344" t="s">
        <v>769</v>
      </c>
      <c r="F557" s="382" t="s">
        <v>431</v>
      </c>
      <c r="G557" s="316">
        <v>5</v>
      </c>
      <c r="H557" s="530">
        <f>VLOOKUP(C557,COMPOSIÇÕES!A:J,6,FALSE)</f>
        <v>37.087866108786606</v>
      </c>
      <c r="I557" s="287">
        <f>COMPOSIÇÕES!$J$84</f>
        <v>44.319999999999993</v>
      </c>
      <c r="J557" s="384">
        <f t="shared" si="64"/>
        <v>221.59999999999997</v>
      </c>
    </row>
    <row r="558" spans="1:10" s="276" customFormat="1" ht="43.2">
      <c r="A558" s="263"/>
      <c r="B558" s="381" t="s">
        <v>1588</v>
      </c>
      <c r="C558" s="382" t="s">
        <v>711</v>
      </c>
      <c r="D558" s="383" t="str">
        <f>COMPOSIÇÕES!B85</f>
        <v>FDE - 07/2023 + SINAPI SP - 08/2023</v>
      </c>
      <c r="E558" s="344" t="s">
        <v>737</v>
      </c>
      <c r="F558" s="382" t="s">
        <v>431</v>
      </c>
      <c r="G558" s="316">
        <v>3</v>
      </c>
      <c r="H558" s="290">
        <f>SUM(COMPOSIÇÕES!G86:G88)</f>
        <v>187.64000000000001</v>
      </c>
      <c r="I558" s="287">
        <f>COMPOSIÇÕES!$J$85</f>
        <v>224.22980000000001</v>
      </c>
      <c r="J558" s="384">
        <f t="shared" si="64"/>
        <v>672.68939999999998</v>
      </c>
    </row>
    <row r="559" spans="1:10" s="276" customFormat="1">
      <c r="A559" s="263"/>
      <c r="B559" s="381" t="s">
        <v>1589</v>
      </c>
      <c r="C559" s="382" t="s">
        <v>735</v>
      </c>
      <c r="D559" s="383" t="str">
        <f>COMPOSIÇÕES!B89</f>
        <v>FDE - 07/2023</v>
      </c>
      <c r="E559" s="344" t="s">
        <v>736</v>
      </c>
      <c r="F559" s="382" t="s">
        <v>431</v>
      </c>
      <c r="G559" s="316">
        <v>106</v>
      </c>
      <c r="H559" s="530">
        <f>VLOOKUP(C559,COMPOSIÇÕES!A:J,6,FALSE)</f>
        <v>7.8158995815899575</v>
      </c>
      <c r="I559" s="287">
        <f>COMPOSIÇÕES!$J$89</f>
        <v>9.34</v>
      </c>
      <c r="J559" s="384">
        <f t="shared" si="64"/>
        <v>990.04</v>
      </c>
    </row>
    <row r="560" spans="1:10" s="276" customFormat="1" ht="28.8">
      <c r="A560" s="263"/>
      <c r="B560" s="381" t="s">
        <v>1590</v>
      </c>
      <c r="C560" s="383" t="str">
        <f>COMPOSIÇÕES!A90</f>
        <v>38.21.110</v>
      </c>
      <c r="D560" s="383" t="str">
        <f>COMPOSIÇÕES!B90</f>
        <v>CDHU - BOLETIM 191</v>
      </c>
      <c r="E560" s="388" t="str">
        <f>COMPOSIÇÕES!C90</f>
        <v>Eletrocalha lisa galvanizada a fogo, 50 x 50 mm, com acessórios</v>
      </c>
      <c r="F560" s="382" t="s">
        <v>412</v>
      </c>
      <c r="G560" s="316">
        <f>13*3</f>
        <v>39</v>
      </c>
      <c r="H560" s="530">
        <f>VLOOKUP(C560,COMPOSIÇÕES!A:J,6,FALSE)</f>
        <v>83.15</v>
      </c>
      <c r="I560" s="287">
        <f>COMPOSIÇÕES!$J$90</f>
        <v>99.364250000000013</v>
      </c>
      <c r="J560" s="384">
        <f t="shared" si="64"/>
        <v>3875.2057500000005</v>
      </c>
    </row>
    <row r="561" spans="1:10" s="276" customFormat="1" ht="28.8">
      <c r="A561" s="263"/>
      <c r="B561" s="381" t="s">
        <v>1591</v>
      </c>
      <c r="C561" s="382" t="str">
        <f>COMPOSIÇÕES!A91</f>
        <v>38.21.920</v>
      </c>
      <c r="D561" s="383" t="str">
        <f>COMPOSIÇÕES!B91</f>
        <v>CDHU - BOLETIM 191</v>
      </c>
      <c r="E561" s="479" t="str">
        <f>COMPOSIÇÕES!C91</f>
        <v>Eletrocalha perfurada galvanizada a fogo, 100 x 50 mm, com acessórios</v>
      </c>
      <c r="F561" s="382" t="s">
        <v>412</v>
      </c>
      <c r="G561" s="316">
        <f>3*10</f>
        <v>30</v>
      </c>
      <c r="H561" s="530">
        <f>VLOOKUP(C561,COMPOSIÇÕES!A:J,6,FALSE)</f>
        <v>98.38</v>
      </c>
      <c r="I561" s="287">
        <f>COMPOSIÇÕES!$J$91</f>
        <v>117.5641</v>
      </c>
      <c r="J561" s="384">
        <f t="shared" si="64"/>
        <v>3526.9229999999998</v>
      </c>
    </row>
    <row r="562" spans="1:10" s="276" customFormat="1" ht="28.8">
      <c r="A562" s="263"/>
      <c r="B562" s="381" t="s">
        <v>1592</v>
      </c>
      <c r="C562" s="382" t="str">
        <f>COMPOSIÇÕES!A92</f>
        <v>38.06.040</v>
      </c>
      <c r="D562" s="383" t="str">
        <f>COMPOSIÇÕES!B92</f>
        <v>CDHU - BOLETIM 191</v>
      </c>
      <c r="E562" s="388" t="str">
        <f>COMPOSIÇÕES!C92</f>
        <v>Eletroduto galvanizado a quente conforme NBR5598 ‐ 3/4´ com acessórios</v>
      </c>
      <c r="F562" s="382" t="s">
        <v>412</v>
      </c>
      <c r="G562" s="316">
        <f>36*3</f>
        <v>108</v>
      </c>
      <c r="H562" s="530">
        <f>VLOOKUP(C562,COMPOSIÇÕES!A:J,6,FALSE)</f>
        <v>60.65</v>
      </c>
      <c r="I562" s="287">
        <f>COMPOSIÇÕES!$J$92</f>
        <v>72.476749999999996</v>
      </c>
      <c r="J562" s="384">
        <f t="shared" si="64"/>
        <v>7827.4889999999996</v>
      </c>
    </row>
    <row r="563" spans="1:10" s="276" customFormat="1" ht="28.8">
      <c r="A563" s="263"/>
      <c r="B563" s="381" t="s">
        <v>1593</v>
      </c>
      <c r="C563" s="382" t="str">
        <f>COMPOSIÇÕES!A93</f>
        <v>38.06.060</v>
      </c>
      <c r="D563" s="383" t="str">
        <f>COMPOSIÇÕES!B93</f>
        <v>CDHU - BOLETIM 191</v>
      </c>
      <c r="E563" s="388" t="str">
        <f>COMPOSIÇÕES!C93</f>
        <v>Eletroduto galvanizado a quente conforme NBR5598 ‐ 1´ com acessórios</v>
      </c>
      <c r="F563" s="382" t="s">
        <v>412</v>
      </c>
      <c r="G563" s="316">
        <f>10*3</f>
        <v>30</v>
      </c>
      <c r="H563" s="530">
        <f>VLOOKUP(C563,COMPOSIÇÕES!A:J,6,FALSE)</f>
        <v>75.38</v>
      </c>
      <c r="I563" s="287">
        <f>COMPOSIÇÕES!$J$93</f>
        <v>90.079099999999997</v>
      </c>
      <c r="J563" s="384">
        <f t="shared" si="64"/>
        <v>2702.373</v>
      </c>
    </row>
    <row r="564" spans="1:10" s="276" customFormat="1" ht="28.8">
      <c r="A564" s="263"/>
      <c r="B564" s="381" t="s">
        <v>1594</v>
      </c>
      <c r="C564" s="382" t="str">
        <f>COMPOSIÇÕES!A94</f>
        <v>38.06.180</v>
      </c>
      <c r="D564" s="383" t="str">
        <f>COMPOSIÇÕES!B94</f>
        <v>CDHU - BOLETIM 191</v>
      </c>
      <c r="E564" s="479" t="str">
        <f>COMPOSIÇÕES!C94</f>
        <v>Eletroduto galvanizado a quente conforme NBR5598 ‐ 4´ com acessórios</v>
      </c>
      <c r="F564" s="382" t="s">
        <v>412</v>
      </c>
      <c r="G564" s="316">
        <v>19</v>
      </c>
      <c r="H564" s="530">
        <f>VLOOKUP(C564,COMPOSIÇÕES!A:J,6,FALSE)</f>
        <v>305.01</v>
      </c>
      <c r="I564" s="287">
        <f>COMPOSIÇÕES!$J$94</f>
        <v>364.48694999999998</v>
      </c>
      <c r="J564" s="384">
        <f t="shared" si="64"/>
        <v>6925.2520499999991</v>
      </c>
    </row>
    <row r="565" spans="1:10" s="276" customFormat="1">
      <c r="A565" s="263"/>
      <c r="B565" s="381" t="s">
        <v>1595</v>
      </c>
      <c r="C565" s="382" t="str">
        <f>COMPOSIÇÕES!A95</f>
        <v>09.82.095</v>
      </c>
      <c r="D565" s="383" t="str">
        <f>COMPOSIÇÕES!B95</f>
        <v>FDE - 07/2023</v>
      </c>
      <c r="E565" s="479" t="str">
        <f>COMPOSIÇÕES!C95</f>
        <v>PERFILADO EM CHAPA DE ACO 38X38MM</v>
      </c>
      <c r="F565" s="382" t="s">
        <v>412</v>
      </c>
      <c r="G565" s="316">
        <v>1</v>
      </c>
      <c r="H565" s="530">
        <f>VLOOKUP(C565,COMPOSIÇÕES!A:J,6,FALSE)</f>
        <v>50.77</v>
      </c>
      <c r="I565" s="287">
        <f>COMPOSIÇÕES!$J$95</f>
        <v>60.670150000000007</v>
      </c>
      <c r="J565" s="384">
        <f t="shared" ref="J565:J580" si="66">G565*I565</f>
        <v>60.670150000000007</v>
      </c>
    </row>
    <row r="566" spans="1:10" s="276" customFormat="1" ht="28.8">
      <c r="A566" s="263"/>
      <c r="B566" s="381" t="s">
        <v>1596</v>
      </c>
      <c r="C566" s="382">
        <v>91927</v>
      </c>
      <c r="D566" s="383" t="str">
        <f>COMPOSIÇÕES!B96</f>
        <v>SINAPI SP - 08/2023</v>
      </c>
      <c r="E566" s="344" t="s">
        <v>770</v>
      </c>
      <c r="F566" s="382" t="s">
        <v>412</v>
      </c>
      <c r="G566" s="316">
        <v>425</v>
      </c>
      <c r="H566" s="530">
        <f>VLOOKUP(C566,COMPOSIÇÕES!A:J,6,FALSE)</f>
        <v>4.8</v>
      </c>
      <c r="I566" s="287">
        <f>COMPOSIÇÕES!$J$96</f>
        <v>5.7359999999999998</v>
      </c>
      <c r="J566" s="384">
        <f t="shared" si="66"/>
        <v>2437.7999999999997</v>
      </c>
    </row>
    <row r="567" spans="1:10" s="276" customFormat="1" ht="28.8">
      <c r="A567" s="263"/>
      <c r="B567" s="381" t="s">
        <v>1597</v>
      </c>
      <c r="C567" s="382">
        <v>91927</v>
      </c>
      <c r="D567" s="383" t="str">
        <f t="shared" ref="D567:D569" si="67">$D$566</f>
        <v>SINAPI SP - 08/2023</v>
      </c>
      <c r="E567" s="344" t="s">
        <v>771</v>
      </c>
      <c r="F567" s="382" t="s">
        <v>412</v>
      </c>
      <c r="G567" s="316">
        <v>400</v>
      </c>
      <c r="H567" s="530">
        <f>VLOOKUP(C567,COMPOSIÇÕES!A:J,6,FALSE)</f>
        <v>4.8</v>
      </c>
      <c r="I567" s="287">
        <f>COMPOSIÇÕES!$J$96</f>
        <v>5.7359999999999998</v>
      </c>
      <c r="J567" s="384">
        <f t="shared" si="66"/>
        <v>2294.4</v>
      </c>
    </row>
    <row r="568" spans="1:10" s="276" customFormat="1" ht="28.8">
      <c r="A568" s="263"/>
      <c r="B568" s="381" t="s">
        <v>1598</v>
      </c>
      <c r="C568" s="382">
        <v>91927</v>
      </c>
      <c r="D568" s="383" t="str">
        <f t="shared" si="67"/>
        <v>SINAPI SP - 08/2023</v>
      </c>
      <c r="E568" s="344" t="s">
        <v>772</v>
      </c>
      <c r="F568" s="382" t="s">
        <v>412</v>
      </c>
      <c r="G568" s="316">
        <v>375</v>
      </c>
      <c r="H568" s="530">
        <f>VLOOKUP(C568,COMPOSIÇÕES!A:J,6,FALSE)</f>
        <v>4.8</v>
      </c>
      <c r="I568" s="287">
        <f>COMPOSIÇÕES!$J$96</f>
        <v>5.7359999999999998</v>
      </c>
      <c r="J568" s="384">
        <f t="shared" si="66"/>
        <v>2151</v>
      </c>
    </row>
    <row r="569" spans="1:10" s="276" customFormat="1" ht="28.8">
      <c r="A569" s="263"/>
      <c r="B569" s="381" t="s">
        <v>1599</v>
      </c>
      <c r="C569" s="382">
        <v>91927</v>
      </c>
      <c r="D569" s="383" t="str">
        <f t="shared" si="67"/>
        <v>SINAPI SP - 08/2023</v>
      </c>
      <c r="E569" s="344" t="s">
        <v>773</v>
      </c>
      <c r="F569" s="382" t="s">
        <v>412</v>
      </c>
      <c r="G569" s="316">
        <v>200</v>
      </c>
      <c r="H569" s="530">
        <f>VLOOKUP(C569,COMPOSIÇÕES!A:J,6,FALSE)</f>
        <v>4.8</v>
      </c>
      <c r="I569" s="287">
        <f>COMPOSIÇÕES!$J$96</f>
        <v>5.7359999999999998</v>
      </c>
      <c r="J569" s="384">
        <f t="shared" si="66"/>
        <v>1147.2</v>
      </c>
    </row>
    <row r="570" spans="1:10" s="276" customFormat="1" ht="28.8">
      <c r="A570" s="263"/>
      <c r="B570" s="381" t="s">
        <v>1600</v>
      </c>
      <c r="C570" s="382">
        <v>91929</v>
      </c>
      <c r="D570" s="383" t="str">
        <f>COMPOSIÇÕES!B97</f>
        <v>SINAPI SP - 08/2023</v>
      </c>
      <c r="E570" s="344" t="s">
        <v>774</v>
      </c>
      <c r="F570" s="382" t="s">
        <v>412</v>
      </c>
      <c r="G570" s="316">
        <v>50</v>
      </c>
      <c r="H570" s="530">
        <f>VLOOKUP(C570,COMPOSIÇÕES!A:J,6,FALSE)</f>
        <v>6.92</v>
      </c>
      <c r="I570" s="287">
        <f>COMPOSIÇÕES!$J$97</f>
        <v>8.2693999999999992</v>
      </c>
      <c r="J570" s="384">
        <f t="shared" si="66"/>
        <v>413.46999999999997</v>
      </c>
    </row>
    <row r="571" spans="1:10" s="276" customFormat="1" ht="28.8">
      <c r="A571" s="263"/>
      <c r="B571" s="381" t="s">
        <v>1601</v>
      </c>
      <c r="C571" s="382">
        <v>91929</v>
      </c>
      <c r="D571" s="383" t="str">
        <f t="shared" ref="D571:D573" si="68">$D$570</f>
        <v>SINAPI SP - 08/2023</v>
      </c>
      <c r="E571" s="344" t="s">
        <v>775</v>
      </c>
      <c r="F571" s="382" t="s">
        <v>412</v>
      </c>
      <c r="G571" s="316">
        <v>50</v>
      </c>
      <c r="H571" s="530">
        <f>VLOOKUP(C571,COMPOSIÇÕES!A:J,6,FALSE)</f>
        <v>6.92</v>
      </c>
      <c r="I571" s="287">
        <f>COMPOSIÇÕES!$J$97</f>
        <v>8.2693999999999992</v>
      </c>
      <c r="J571" s="384">
        <f t="shared" si="66"/>
        <v>413.46999999999997</v>
      </c>
    </row>
    <row r="572" spans="1:10" s="276" customFormat="1" ht="28.8">
      <c r="A572" s="263"/>
      <c r="B572" s="381" t="s">
        <v>1602</v>
      </c>
      <c r="C572" s="382">
        <v>91929</v>
      </c>
      <c r="D572" s="383" t="str">
        <f t="shared" si="68"/>
        <v>SINAPI SP - 08/2023</v>
      </c>
      <c r="E572" s="344" t="s">
        <v>835</v>
      </c>
      <c r="F572" s="382" t="s">
        <v>412</v>
      </c>
      <c r="G572" s="316">
        <v>50</v>
      </c>
      <c r="H572" s="530">
        <f>VLOOKUP(C572,COMPOSIÇÕES!A:J,6,FALSE)</f>
        <v>6.92</v>
      </c>
      <c r="I572" s="287">
        <f>COMPOSIÇÕES!$J$97</f>
        <v>8.2693999999999992</v>
      </c>
      <c r="J572" s="384">
        <f t="shared" si="66"/>
        <v>413.46999999999997</v>
      </c>
    </row>
    <row r="573" spans="1:10" s="276" customFormat="1" ht="28.8">
      <c r="A573" s="263"/>
      <c r="B573" s="381" t="s">
        <v>1603</v>
      </c>
      <c r="C573" s="382">
        <v>91929</v>
      </c>
      <c r="D573" s="383" t="str">
        <f t="shared" si="68"/>
        <v>SINAPI SP - 08/2023</v>
      </c>
      <c r="E573" s="344" t="s">
        <v>776</v>
      </c>
      <c r="F573" s="382" t="s">
        <v>412</v>
      </c>
      <c r="G573" s="316">
        <v>100</v>
      </c>
      <c r="H573" s="530">
        <f>VLOOKUP(C573,COMPOSIÇÕES!A:J,6,FALSE)</f>
        <v>6.92</v>
      </c>
      <c r="I573" s="287">
        <f>COMPOSIÇÕES!$J$97</f>
        <v>8.2693999999999992</v>
      </c>
      <c r="J573" s="384">
        <f t="shared" si="66"/>
        <v>826.93999999999994</v>
      </c>
    </row>
    <row r="574" spans="1:10" s="276" customFormat="1" ht="28.8">
      <c r="A574" s="263"/>
      <c r="B574" s="381" t="s">
        <v>1604</v>
      </c>
      <c r="C574" s="382">
        <v>92986</v>
      </c>
      <c r="D574" s="383" t="str">
        <f>COMPOSIÇÕES!B164</f>
        <v>SINAPI SP - 08/2023</v>
      </c>
      <c r="E574" s="344" t="s">
        <v>857</v>
      </c>
      <c r="F574" s="382" t="s">
        <v>412</v>
      </c>
      <c r="G574" s="316">
        <v>65</v>
      </c>
      <c r="H574" s="530">
        <f>VLOOKUP(C574,COMPOSIÇÕES!A:J,6,FALSE)</f>
        <v>32.17</v>
      </c>
      <c r="I574" s="287">
        <f>COMPOSIÇÕES!$J$164</f>
        <v>38.443150000000003</v>
      </c>
      <c r="J574" s="384">
        <f t="shared" si="66"/>
        <v>2498.8047500000002</v>
      </c>
    </row>
    <row r="575" spans="1:10" s="276" customFormat="1" ht="28.8">
      <c r="A575" s="263"/>
      <c r="B575" s="381" t="s">
        <v>1605</v>
      </c>
      <c r="C575" s="382">
        <v>92990</v>
      </c>
      <c r="D575" s="383" t="str">
        <f>COMPOSIÇÕES!B165</f>
        <v>SINAPI SP - 08/2023</v>
      </c>
      <c r="E575" s="344" t="s">
        <v>853</v>
      </c>
      <c r="F575" s="382" t="s">
        <v>412</v>
      </c>
      <c r="G575" s="316">
        <v>65</v>
      </c>
      <c r="H575" s="530">
        <f>VLOOKUP(C575,COMPOSIÇÕES!A:J,6,FALSE)</f>
        <v>63.26</v>
      </c>
      <c r="I575" s="287">
        <f>COMPOSIÇÕES!$J$165</f>
        <v>75.595699999999994</v>
      </c>
      <c r="J575" s="384">
        <f t="shared" si="66"/>
        <v>4913.7204999999994</v>
      </c>
    </row>
    <row r="576" spans="1:10" s="276" customFormat="1" ht="28.8">
      <c r="A576" s="263"/>
      <c r="B576" s="381" t="s">
        <v>1606</v>
      </c>
      <c r="C576" s="382">
        <v>92990</v>
      </c>
      <c r="D576" s="383" t="str">
        <f t="shared" ref="D576:D578" si="69">$D$575</f>
        <v>SINAPI SP - 08/2023</v>
      </c>
      <c r="E576" s="344" t="s">
        <v>854</v>
      </c>
      <c r="F576" s="382" t="s">
        <v>412</v>
      </c>
      <c r="G576" s="316">
        <v>65</v>
      </c>
      <c r="H576" s="530">
        <f>VLOOKUP(C576,COMPOSIÇÕES!A:J,6,FALSE)</f>
        <v>63.26</v>
      </c>
      <c r="I576" s="287">
        <f>COMPOSIÇÕES!$J$165</f>
        <v>75.595699999999994</v>
      </c>
      <c r="J576" s="384">
        <f t="shared" si="66"/>
        <v>4913.7204999999994</v>
      </c>
    </row>
    <row r="577" spans="1:10" s="276" customFormat="1" ht="28.8">
      <c r="A577" s="263"/>
      <c r="B577" s="381" t="s">
        <v>1607</v>
      </c>
      <c r="C577" s="382">
        <v>92990</v>
      </c>
      <c r="D577" s="383" t="str">
        <f t="shared" si="69"/>
        <v>SINAPI SP - 08/2023</v>
      </c>
      <c r="E577" s="344" t="s">
        <v>855</v>
      </c>
      <c r="F577" s="382" t="s">
        <v>412</v>
      </c>
      <c r="G577" s="316">
        <v>65</v>
      </c>
      <c r="H577" s="530">
        <f>VLOOKUP(C577,COMPOSIÇÕES!A:J,6,FALSE)</f>
        <v>63.26</v>
      </c>
      <c r="I577" s="287">
        <f>COMPOSIÇÕES!$J$165</f>
        <v>75.595699999999994</v>
      </c>
      <c r="J577" s="384">
        <f t="shared" si="66"/>
        <v>4913.7204999999994</v>
      </c>
    </row>
    <row r="578" spans="1:10" s="276" customFormat="1" ht="28.8">
      <c r="A578" s="263"/>
      <c r="B578" s="381" t="s">
        <v>1608</v>
      </c>
      <c r="C578" s="382">
        <v>92990</v>
      </c>
      <c r="D578" s="383" t="str">
        <f t="shared" si="69"/>
        <v>SINAPI SP - 08/2023</v>
      </c>
      <c r="E578" s="344" t="s">
        <v>856</v>
      </c>
      <c r="F578" s="382" t="s">
        <v>412</v>
      </c>
      <c r="G578" s="316">
        <v>65</v>
      </c>
      <c r="H578" s="530">
        <f>VLOOKUP(C578,COMPOSIÇÕES!A:J,6,FALSE)</f>
        <v>63.26</v>
      </c>
      <c r="I578" s="287">
        <f>COMPOSIÇÕES!$J$165</f>
        <v>75.595699999999994</v>
      </c>
      <c r="J578" s="384">
        <f t="shared" si="66"/>
        <v>4913.7204999999994</v>
      </c>
    </row>
    <row r="579" spans="1:10" s="276" customFormat="1">
      <c r="A579" s="263"/>
      <c r="B579" s="381" t="s">
        <v>1609</v>
      </c>
      <c r="C579" s="382" t="s">
        <v>711</v>
      </c>
      <c r="D579" s="383" t="str">
        <f>COMPOSIÇÕES!B144</f>
        <v>FDE - 07/2023</v>
      </c>
      <c r="E579" s="344" t="s">
        <v>871</v>
      </c>
      <c r="F579" s="382" t="s">
        <v>431</v>
      </c>
      <c r="G579" s="316">
        <v>8</v>
      </c>
      <c r="H579" s="530">
        <f>COMPOSIÇÕES!F144</f>
        <v>28.62</v>
      </c>
      <c r="I579" s="287">
        <f>COMPOSIÇÕES!$J$144</f>
        <v>34.200900000000004</v>
      </c>
      <c r="J579" s="384">
        <f t="shared" si="66"/>
        <v>273.60720000000003</v>
      </c>
    </row>
    <row r="580" spans="1:10" s="276" customFormat="1" ht="28.8">
      <c r="A580" s="263"/>
      <c r="B580" s="381" t="s">
        <v>1610</v>
      </c>
      <c r="C580" s="383" t="s">
        <v>1558</v>
      </c>
      <c r="D580" s="383" t="s">
        <v>2474</v>
      </c>
      <c r="E580" s="344" t="s">
        <v>872</v>
      </c>
      <c r="F580" s="382" t="s">
        <v>431</v>
      </c>
      <c r="G580" s="316">
        <v>24</v>
      </c>
      <c r="H580" s="530">
        <f>COMPOSIÇÕES!F166</f>
        <v>47.32</v>
      </c>
      <c r="I580" s="287">
        <f>COMPOSIÇÕES!$J$166</f>
        <v>56.547400000000003</v>
      </c>
      <c r="J580" s="384">
        <f t="shared" si="66"/>
        <v>1357.1376</v>
      </c>
    </row>
    <row r="581" spans="1:10" s="263" customFormat="1" ht="72">
      <c r="B581" s="381" t="s">
        <v>1611</v>
      </c>
      <c r="C581" s="275" t="s">
        <v>711</v>
      </c>
      <c r="D581" s="277" t="str">
        <f>COMPOSIÇÕES!B208</f>
        <v>CDHU - BOLETIM 191 + FDE - 07/2023 + SINAPI SP - 08/2023</v>
      </c>
      <c r="E581" s="278" t="s">
        <v>1016</v>
      </c>
      <c r="F581" s="275" t="s">
        <v>530</v>
      </c>
      <c r="G581" s="313">
        <v>1</v>
      </c>
      <c r="H581" s="301">
        <f>SUM(COMPOSIÇÕES!G209:G215)</f>
        <v>7499.421713807531</v>
      </c>
      <c r="I581" s="286">
        <f>COMPOSIÇÕES!$J$208</f>
        <v>8961.8089479999999</v>
      </c>
      <c r="J581" s="295">
        <f t="shared" ref="J581" si="70">G581*I581</f>
        <v>8961.8089479999999</v>
      </c>
    </row>
    <row r="582" spans="1:10" s="147" customFormat="1">
      <c r="B582" s="577" t="s">
        <v>620</v>
      </c>
      <c r="C582" s="578"/>
      <c r="D582" s="578"/>
      <c r="E582" s="578"/>
      <c r="F582" s="578"/>
      <c r="G582" s="578"/>
      <c r="H582" s="578"/>
      <c r="I582" s="578"/>
      <c r="J582" s="296">
        <f>SUM(J551:J581)</f>
        <v>74226.180391414644</v>
      </c>
    </row>
    <row r="583" spans="1:10" s="263" customFormat="1">
      <c r="B583" s="237" t="s">
        <v>621</v>
      </c>
      <c r="C583" s="238"/>
      <c r="D583" s="533"/>
      <c r="E583" s="239" t="s">
        <v>650</v>
      </c>
      <c r="F583" s="238"/>
      <c r="G583" s="312"/>
      <c r="H583" s="300"/>
      <c r="I583" s="285"/>
      <c r="J583" s="294"/>
    </row>
    <row r="584" spans="1:10" s="276" customFormat="1">
      <c r="A584" s="263"/>
      <c r="B584" s="381" t="s">
        <v>622</v>
      </c>
      <c r="C584" s="382" t="s">
        <v>708</v>
      </c>
      <c r="D584" s="383" t="str">
        <f>COMPOSIÇÕES!B115</f>
        <v>FDE - 07/2023</v>
      </c>
      <c r="E584" s="344" t="s">
        <v>651</v>
      </c>
      <c r="F584" s="382" t="s">
        <v>541</v>
      </c>
      <c r="G584" s="316">
        <v>100</v>
      </c>
      <c r="H584" s="290">
        <f>COMPOSIÇÕES!$G$116</f>
        <v>5.116260162601626</v>
      </c>
      <c r="I584" s="287">
        <f>COMPOSIÇÕES!$J$115</f>
        <v>6.1139308943089432</v>
      </c>
      <c r="J584" s="384">
        <f>G584*I584</f>
        <v>611.39308943089429</v>
      </c>
    </row>
    <row r="585" spans="1:10" s="263" customFormat="1">
      <c r="B585" s="577" t="s">
        <v>623</v>
      </c>
      <c r="C585" s="578"/>
      <c r="D585" s="578"/>
      <c r="E585" s="578"/>
      <c r="F585" s="578"/>
      <c r="G585" s="578"/>
      <c r="H585" s="578"/>
      <c r="I585" s="578"/>
      <c r="J585" s="296">
        <f>J584</f>
        <v>611.39308943089429</v>
      </c>
    </row>
    <row r="586" spans="1:10" s="261" customFormat="1" ht="25.5" customHeight="1" thickBot="1">
      <c r="B586" s="564" t="s">
        <v>616</v>
      </c>
      <c r="C586" s="565"/>
      <c r="D586" s="565"/>
      <c r="E586" s="565"/>
      <c r="F586" s="565"/>
      <c r="G586" s="565"/>
      <c r="H586" s="565"/>
      <c r="I586" s="566"/>
      <c r="J586" s="297">
        <f>J525+J549+J582+J585</f>
        <v>148740.9838695268</v>
      </c>
    </row>
    <row r="587" spans="1:10" s="147" customFormat="1">
      <c r="B587" s="264" t="s">
        <v>498</v>
      </c>
      <c r="C587" s="265"/>
      <c r="D587" s="534"/>
      <c r="E587" s="266" t="s">
        <v>539</v>
      </c>
      <c r="F587" s="265"/>
      <c r="G587" s="310"/>
      <c r="H587" s="298"/>
      <c r="I587" s="283"/>
      <c r="J587" s="292"/>
    </row>
    <row r="588" spans="1:10" s="147" customFormat="1" ht="6" customHeight="1">
      <c r="B588" s="234"/>
      <c r="C588" s="235"/>
      <c r="D588" s="532"/>
      <c r="E588" s="236"/>
      <c r="F588" s="235"/>
      <c r="G588" s="311"/>
      <c r="H588" s="299"/>
      <c r="I588" s="284"/>
      <c r="J588" s="293"/>
    </row>
    <row r="589" spans="1:10" s="261" customFormat="1">
      <c r="B589" s="237" t="s">
        <v>499</v>
      </c>
      <c r="C589" s="238"/>
      <c r="D589" s="533"/>
      <c r="E589" s="239" t="s">
        <v>483</v>
      </c>
      <c r="F589" s="238"/>
      <c r="G589" s="312"/>
      <c r="H589" s="300"/>
      <c r="I589" s="285"/>
      <c r="J589" s="294"/>
    </row>
    <row r="590" spans="1:10" s="150" customFormat="1">
      <c r="B590" s="381" t="s">
        <v>500</v>
      </c>
      <c r="C590" s="382" t="s">
        <v>699</v>
      </c>
      <c r="D590" s="317" t="str">
        <f t="shared" ref="D590:I591" si="71">D523</f>
        <v>FDE - 07/2023</v>
      </c>
      <c r="E590" s="481" t="str">
        <f t="shared" si="71"/>
        <v>FORNECIMENTO E INSTALAÇAO DE PLACAS DE OBRA</v>
      </c>
      <c r="F590" s="316" t="str">
        <f t="shared" si="71"/>
        <v>M²</v>
      </c>
      <c r="G590" s="316">
        <f t="shared" si="71"/>
        <v>5</v>
      </c>
      <c r="H590" s="290">
        <f t="shared" si="71"/>
        <v>407.8057</v>
      </c>
      <c r="I590" s="287">
        <f t="shared" si="71"/>
        <v>487.3278115</v>
      </c>
      <c r="J590" s="384">
        <f>G590*I590</f>
        <v>2436.6390575</v>
      </c>
    </row>
    <row r="591" spans="1:10" s="150" customFormat="1" ht="28.8">
      <c r="B591" s="381" t="s">
        <v>798</v>
      </c>
      <c r="C591" s="382">
        <v>37524</v>
      </c>
      <c r="D591" s="317" t="str">
        <f t="shared" si="71"/>
        <v>SINAPI SP - 08/2023</v>
      </c>
      <c r="E591" s="481" t="str">
        <f t="shared" si="71"/>
        <v>ISOLAMENTO DE OBRA COM TELA PLASTICA COM MALHA DE 5MM E ESTRUTURA DE MADEIRA PONTALETEADA</v>
      </c>
      <c r="F591" s="316" t="str">
        <f t="shared" si="71"/>
        <v>M²</v>
      </c>
      <c r="G591" s="316">
        <f t="shared" si="71"/>
        <v>40</v>
      </c>
      <c r="H591" s="290">
        <f t="shared" si="71"/>
        <v>2</v>
      </c>
      <c r="I591" s="287">
        <f t="shared" si="71"/>
        <v>2.39</v>
      </c>
      <c r="J591" s="384">
        <f>G591*I591</f>
        <v>95.600000000000009</v>
      </c>
    </row>
    <row r="592" spans="1:10" s="261" customFormat="1">
      <c r="B592" s="577" t="s">
        <v>626</v>
      </c>
      <c r="C592" s="578"/>
      <c r="D592" s="578"/>
      <c r="E592" s="578"/>
      <c r="F592" s="578"/>
      <c r="G592" s="578"/>
      <c r="H592" s="578"/>
      <c r="I592" s="578"/>
      <c r="J592" s="296">
        <f>SUM(J590:J591)</f>
        <v>2532.2390574999999</v>
      </c>
    </row>
    <row r="593" spans="1:10" s="147" customFormat="1">
      <c r="B593" s="237" t="s">
        <v>624</v>
      </c>
      <c r="C593" s="238"/>
      <c r="D593" s="533"/>
      <c r="E593" s="239" t="s">
        <v>525</v>
      </c>
      <c r="F593" s="238"/>
      <c r="G593" s="312"/>
      <c r="H593" s="300"/>
      <c r="I593" s="285"/>
      <c r="J593" s="294"/>
    </row>
    <row r="594" spans="1:10" s="276" customFormat="1" ht="28.8">
      <c r="B594" s="381" t="s">
        <v>625</v>
      </c>
      <c r="C594" s="382" t="s">
        <v>711</v>
      </c>
      <c r="D594" s="383" t="str">
        <f>COMPOSIÇÕES!B10</f>
        <v>SINAPI SP - 08/2023</v>
      </c>
      <c r="E594" s="487" t="s">
        <v>2404</v>
      </c>
      <c r="F594" s="382" t="s">
        <v>431</v>
      </c>
      <c r="G594" s="315">
        <v>15</v>
      </c>
      <c r="H594" s="290">
        <f>SUM(COMPOSIÇÕES!G11:G13)</f>
        <v>328.17395199999999</v>
      </c>
      <c r="I594" s="287">
        <f>COMPOSIÇÕES!J10</f>
        <v>392.16787263999993</v>
      </c>
      <c r="J594" s="384">
        <f t="shared" ref="J594" si="72">G594*I594</f>
        <v>5882.5180895999993</v>
      </c>
    </row>
    <row r="595" spans="1:10" s="150" customFormat="1" ht="86.4">
      <c r="B595" s="381" t="s">
        <v>1614</v>
      </c>
      <c r="C595" s="382" t="s">
        <v>711</v>
      </c>
      <c r="D595" s="383" t="str">
        <f>COMPOSIÇÕES!B14</f>
        <v>SINAPI SP - 08/2023</v>
      </c>
      <c r="E595" s="344" t="s">
        <v>754</v>
      </c>
      <c r="F595" s="382" t="s">
        <v>412</v>
      </c>
      <c r="G595" s="317">
        <v>20</v>
      </c>
      <c r="H595" s="290">
        <f>SUM(COMPOSIÇÕES!G15:G18)</f>
        <v>37.264400000000002</v>
      </c>
      <c r="I595" s="287">
        <f>COMPOSIÇÕES!$J$14</f>
        <v>44.530958000000005</v>
      </c>
      <c r="J595" s="384">
        <f>G595*I595</f>
        <v>890.61916000000008</v>
      </c>
    </row>
    <row r="596" spans="1:10" s="150" customFormat="1" ht="86.4">
      <c r="B596" s="381" t="s">
        <v>1615</v>
      </c>
      <c r="C596" s="382" t="s">
        <v>711</v>
      </c>
      <c r="D596" s="383" t="str">
        <f>COMPOSIÇÕES!B19</f>
        <v>SINAPI SP - 08/2023</v>
      </c>
      <c r="E596" s="344" t="s">
        <v>755</v>
      </c>
      <c r="F596" s="382" t="s">
        <v>412</v>
      </c>
      <c r="G596" s="317">
        <v>20</v>
      </c>
      <c r="H596" s="290">
        <f>SUM(COMPOSIÇÕES!G20:G23)</f>
        <v>69.234999999999985</v>
      </c>
      <c r="I596" s="287">
        <f>COMPOSIÇÕES!$J$19</f>
        <v>82.735824999999991</v>
      </c>
      <c r="J596" s="384">
        <f t="shared" ref="J596:J605" si="73">G596*I596</f>
        <v>1654.7164999999998</v>
      </c>
    </row>
    <row r="597" spans="1:10" s="150" customFormat="1" ht="86.4">
      <c r="B597" s="381" t="s">
        <v>1616</v>
      </c>
      <c r="C597" s="382" t="s">
        <v>711</v>
      </c>
      <c r="D597" s="383" t="str">
        <f>COMPOSIÇÕES!B24</f>
        <v>SINAPI SP - 08/2023</v>
      </c>
      <c r="E597" s="344" t="s">
        <v>747</v>
      </c>
      <c r="F597" s="382" t="s">
        <v>412</v>
      </c>
      <c r="G597" s="317">
        <v>84</v>
      </c>
      <c r="H597" s="290">
        <f>SUM(COMPOSIÇÕES!G25:G28)</f>
        <v>53.322000000000003</v>
      </c>
      <c r="I597" s="287">
        <f>COMPOSIÇÕES!$J$24</f>
        <v>63.719789999999996</v>
      </c>
      <c r="J597" s="384">
        <f t="shared" si="73"/>
        <v>5352.4623599999995</v>
      </c>
    </row>
    <row r="598" spans="1:10" s="393" customFormat="1" ht="86.4">
      <c r="A598" s="150"/>
      <c r="B598" s="381" t="s">
        <v>1617</v>
      </c>
      <c r="C598" s="394" t="s">
        <v>711</v>
      </c>
      <c r="D598" s="389" t="str">
        <f>COMPOSIÇÕES!B29</f>
        <v xml:space="preserve">SINAPI SP - 08/2023 </v>
      </c>
      <c r="E598" s="395" t="s">
        <v>748</v>
      </c>
      <c r="F598" s="394" t="s">
        <v>412</v>
      </c>
      <c r="G598" s="315">
        <v>84</v>
      </c>
      <c r="H598" s="392">
        <f>SUM(COMPOSIÇÕES!G30:G33)</f>
        <v>85.438000000000002</v>
      </c>
      <c r="I598" s="396">
        <f>COMPOSIÇÕES!$J$29</f>
        <v>102.09840999999999</v>
      </c>
      <c r="J598" s="397">
        <f t="shared" si="73"/>
        <v>8576.2664399999994</v>
      </c>
    </row>
    <row r="599" spans="1:10" s="393" customFormat="1" ht="28.8">
      <c r="A599" s="150"/>
      <c r="B599" s="381" t="s">
        <v>1618</v>
      </c>
      <c r="C599" s="394" t="str">
        <f t="shared" ref="C599:I599" si="74">C534</f>
        <v>22.02.030</v>
      </c>
      <c r="D599" s="389" t="str">
        <f t="shared" si="74"/>
        <v>CDHU - BOLETIM 191</v>
      </c>
      <c r="E599" s="395" t="str">
        <f t="shared" si="74"/>
        <v>Forro em painéis de gesso acartonado, espessura de 12,5mm, fixo</v>
      </c>
      <c r="F599" s="394" t="str">
        <f t="shared" si="74"/>
        <v>M²</v>
      </c>
      <c r="G599" s="315">
        <f>7.15*0.55*2*9</f>
        <v>70.785000000000011</v>
      </c>
      <c r="H599" s="392">
        <f t="shared" si="74"/>
        <v>99.47</v>
      </c>
      <c r="I599" s="396">
        <f t="shared" si="74"/>
        <v>118.86664999999999</v>
      </c>
      <c r="J599" s="397">
        <f t="shared" si="73"/>
        <v>8413.9758202500016</v>
      </c>
    </row>
    <row r="600" spans="1:10" s="150" customFormat="1" ht="57.6">
      <c r="B600" s="381" t="s">
        <v>1619</v>
      </c>
      <c r="C600" s="382" t="s">
        <v>711</v>
      </c>
      <c r="D600" s="383" t="str">
        <f>COMPOSIÇÕES!B36</f>
        <v xml:space="preserve">SINAPI SP - 08/2023 </v>
      </c>
      <c r="E600" s="398" t="s">
        <v>756</v>
      </c>
      <c r="F600" s="382" t="s">
        <v>413</v>
      </c>
      <c r="G600" s="315">
        <v>450</v>
      </c>
      <c r="H600" s="287">
        <f>SUM(COMPOSIÇÕES!G37:G39)</f>
        <v>84.94</v>
      </c>
      <c r="I600" s="287">
        <f>COMPOSIÇÕES!$J$36</f>
        <v>101.5033</v>
      </c>
      <c r="J600" s="384">
        <f t="shared" si="73"/>
        <v>45676.485000000001</v>
      </c>
    </row>
    <row r="601" spans="1:10" s="335" customFormat="1" ht="28.8">
      <c r="A601" s="150"/>
      <c r="B601" s="381" t="s">
        <v>1620</v>
      </c>
      <c r="C601" s="383" t="str">
        <f>COMPOSIÇÕES!A44</f>
        <v>61.10.565</v>
      </c>
      <c r="D601" s="383" t="str">
        <f>COMPOSIÇÕES!B44</f>
        <v>CDHU - BOLETIM 191</v>
      </c>
      <c r="E601" s="388" t="s">
        <v>1042</v>
      </c>
      <c r="F601" s="382" t="s">
        <v>431</v>
      </c>
      <c r="G601" s="315">
        <v>6</v>
      </c>
      <c r="H601" s="287">
        <f>COMPOSIÇÕES!G45</f>
        <v>248.91654375000002</v>
      </c>
      <c r="I601" s="287">
        <f>COMPOSIÇÕES!$J$44</f>
        <v>297.45526978125002</v>
      </c>
      <c r="J601" s="384">
        <f t="shared" si="73"/>
        <v>1784.7316186875</v>
      </c>
    </row>
    <row r="602" spans="1:10" s="335" customFormat="1" ht="28.8">
      <c r="A602" s="150"/>
      <c r="B602" s="381" t="s">
        <v>1621</v>
      </c>
      <c r="C602" s="383" t="str">
        <f>COMPOSIÇÕES!A46</f>
        <v>61.10.564</v>
      </c>
      <c r="D602" s="383" t="str">
        <f>COMPOSIÇÕES!B46</f>
        <v>CDHU - BOLETIM 191</v>
      </c>
      <c r="E602" s="388" t="s">
        <v>1043</v>
      </c>
      <c r="F602" s="382" t="s">
        <v>431</v>
      </c>
      <c r="G602" s="315">
        <v>3</v>
      </c>
      <c r="H602" s="287">
        <f>COMPOSIÇÕES!G47</f>
        <v>49.947131250000005</v>
      </c>
      <c r="I602" s="287">
        <f>COMPOSIÇÕES!$J$46</f>
        <v>59.68682184375001</v>
      </c>
      <c r="J602" s="384">
        <f t="shared" si="73"/>
        <v>179.06046553125003</v>
      </c>
    </row>
    <row r="603" spans="1:10" s="150" customFormat="1" ht="28.8">
      <c r="B603" s="381" t="s">
        <v>1622</v>
      </c>
      <c r="C603" s="383" t="str">
        <f>COMPOSIÇÕES!A124</f>
        <v>61.10.581</v>
      </c>
      <c r="D603" s="383" t="str">
        <f>COMPOSIÇÕES!B124</f>
        <v>CDHU - BOLETIM 191</v>
      </c>
      <c r="E603" s="388" t="s">
        <v>1119</v>
      </c>
      <c r="F603" s="382" t="s">
        <v>431</v>
      </c>
      <c r="G603" s="317">
        <v>6</v>
      </c>
      <c r="H603" s="287">
        <f>SUM(COMPOSIÇÕES!$G$125:$G$125)</f>
        <v>203.34</v>
      </c>
      <c r="I603" s="287">
        <f>COMPOSIÇÕES!$J$124</f>
        <v>242.9913</v>
      </c>
      <c r="J603" s="384">
        <f t="shared" si="73"/>
        <v>1457.9477999999999</v>
      </c>
    </row>
    <row r="604" spans="1:10" s="150" customFormat="1" ht="28.8">
      <c r="B604" s="381" t="s">
        <v>1623</v>
      </c>
      <c r="C604" s="383" t="str">
        <f>COMPOSIÇÕES!A56</f>
        <v>61.10.581</v>
      </c>
      <c r="D604" s="383" t="str">
        <f>COMPOSIÇÕES!B56</f>
        <v>CDHU - BOLETIM 191</v>
      </c>
      <c r="E604" s="388" t="s">
        <v>1117</v>
      </c>
      <c r="F604" s="382" t="s">
        <v>431</v>
      </c>
      <c r="G604" s="315">
        <v>3</v>
      </c>
      <c r="H604" s="287">
        <f>COMPOSIÇÕES!G57</f>
        <v>16.945000000000004</v>
      </c>
      <c r="I604" s="287">
        <f>COMPOSIÇÕES!$J$56</f>
        <v>20.249275000000004</v>
      </c>
      <c r="J604" s="384">
        <f t="shared" si="73"/>
        <v>60.747825000000013</v>
      </c>
    </row>
    <row r="605" spans="1:10" s="150" customFormat="1" ht="28.8">
      <c r="A605" s="271"/>
      <c r="B605" s="381" t="s">
        <v>1624</v>
      </c>
      <c r="C605" s="382" t="s">
        <v>711</v>
      </c>
      <c r="D605" s="383" t="str">
        <f>COMPOSIÇÕES!B58</f>
        <v xml:space="preserve">SINAPI SP - 08/2023 </v>
      </c>
      <c r="E605" s="388" t="s">
        <v>758</v>
      </c>
      <c r="F605" s="382" t="s">
        <v>412</v>
      </c>
      <c r="G605" s="315">
        <v>160</v>
      </c>
      <c r="H605" s="287">
        <f>SUM(COMPOSIÇÕES!G59:G61)</f>
        <v>31.499000000000002</v>
      </c>
      <c r="I605" s="287">
        <f>COMPOSIÇÕES!$J$58</f>
        <v>37.641304999999996</v>
      </c>
      <c r="J605" s="384">
        <f t="shared" si="73"/>
        <v>6022.6087999999991</v>
      </c>
    </row>
    <row r="606" spans="1:10" s="150" customFormat="1" ht="28.8">
      <c r="A606" s="271"/>
      <c r="B606" s="381" t="s">
        <v>1625</v>
      </c>
      <c r="C606" s="382" t="s">
        <v>711</v>
      </c>
      <c r="D606" s="383" t="str">
        <f>COMPOSIÇÕES!B64</f>
        <v>SINAPI SP - 08/2023</v>
      </c>
      <c r="E606" s="388" t="s">
        <v>697</v>
      </c>
      <c r="F606" s="382" t="s">
        <v>431</v>
      </c>
      <c r="G606" s="315">
        <v>15</v>
      </c>
      <c r="H606" s="287">
        <f>SUM(COMPOSIÇÕES!G65:G67)</f>
        <v>92.32</v>
      </c>
      <c r="I606" s="287">
        <f>COMPOSIÇÕES!$J$64</f>
        <v>110.32240000000002</v>
      </c>
      <c r="J606" s="384">
        <f t="shared" ref="J606:J610" si="75">I606*G606</f>
        <v>1654.8360000000002</v>
      </c>
    </row>
    <row r="607" spans="1:10" s="150" customFormat="1" ht="28.8">
      <c r="A607" s="271"/>
      <c r="B607" s="381" t="s">
        <v>1626</v>
      </c>
      <c r="C607" s="382" t="s">
        <v>711</v>
      </c>
      <c r="D607" s="383" t="str">
        <f>COMPOSIÇÕES!B68</f>
        <v xml:space="preserve">SINAPI SP - 08/2023 </v>
      </c>
      <c r="E607" s="388" t="s">
        <v>762</v>
      </c>
      <c r="F607" s="382" t="s">
        <v>415</v>
      </c>
      <c r="G607" s="315">
        <v>1</v>
      </c>
      <c r="H607" s="287">
        <f>SUM(COMPOSIÇÕES!$G$69:$G$70)</f>
        <v>58.91</v>
      </c>
      <c r="I607" s="287">
        <f>COMPOSIÇÕES!$J$68</f>
        <v>70.397449999999992</v>
      </c>
      <c r="J607" s="384">
        <f t="shared" si="75"/>
        <v>70.397449999999992</v>
      </c>
    </row>
    <row r="608" spans="1:10" s="150" customFormat="1" ht="28.8">
      <c r="A608" s="271"/>
      <c r="B608" s="381" t="s">
        <v>1627</v>
      </c>
      <c r="C608" s="399" t="s">
        <v>763</v>
      </c>
      <c r="D608" s="273" t="str">
        <f>COMPOSIÇÕES!B71</f>
        <v xml:space="preserve">SINAPI SP - 08/2023 </v>
      </c>
      <c r="E608" s="400" t="s">
        <v>761</v>
      </c>
      <c r="F608" s="273" t="s">
        <v>541</v>
      </c>
      <c r="G608" s="316">
        <v>2</v>
      </c>
      <c r="H608" s="287">
        <f>SUM(COMPOSIÇÕES!$G$72:$G$72)</f>
        <v>28.8</v>
      </c>
      <c r="I608" s="287">
        <f>COMPOSIÇÕES!$J$71</f>
        <v>34.416000000000004</v>
      </c>
      <c r="J608" s="384">
        <f t="shared" si="75"/>
        <v>68.832000000000008</v>
      </c>
    </row>
    <row r="609" spans="1:10" s="150" customFormat="1">
      <c r="A609" s="271"/>
      <c r="B609" s="381" t="s">
        <v>2412</v>
      </c>
      <c r="C609" s="399" t="s">
        <v>759</v>
      </c>
      <c r="D609" s="273" t="str">
        <f>COMPOSIÇÕES!B73</f>
        <v>FDE - 07/2023</v>
      </c>
      <c r="E609" s="400" t="s">
        <v>760</v>
      </c>
      <c r="F609" s="273" t="s">
        <v>701</v>
      </c>
      <c r="G609" s="316">
        <v>1</v>
      </c>
      <c r="H609" s="530">
        <f>VLOOKUP(C609,COMPOSIÇÕES!A:J,6,FALSE)</f>
        <v>38.485355648535567</v>
      </c>
      <c r="I609" s="287">
        <f>COMPOSIÇÕES!$J$73</f>
        <v>45.99</v>
      </c>
      <c r="J609" s="384">
        <f t="shared" si="75"/>
        <v>45.99</v>
      </c>
    </row>
    <row r="610" spans="1:10" s="150" customFormat="1">
      <c r="A610" s="271"/>
      <c r="B610" s="381" t="s">
        <v>2444</v>
      </c>
      <c r="C610" s="399" t="s">
        <v>764</v>
      </c>
      <c r="D610" s="273" t="str">
        <f>COMPOSIÇÕES!B74</f>
        <v>FDE - 07/2023</v>
      </c>
      <c r="E610" s="400" t="s">
        <v>765</v>
      </c>
      <c r="F610" s="273" t="s">
        <v>541</v>
      </c>
      <c r="G610" s="316">
        <v>3</v>
      </c>
      <c r="H610" s="530">
        <f>VLOOKUP(C610,COMPOSIÇÕES!A:J,6,FALSE)</f>
        <v>210.81171548117152</v>
      </c>
      <c r="I610" s="287">
        <f>COMPOSIÇÕES!$J$74</f>
        <v>251.91999999999996</v>
      </c>
      <c r="J610" s="384">
        <f t="shared" si="75"/>
        <v>755.75999999999988</v>
      </c>
    </row>
    <row r="611" spans="1:10" s="147" customFormat="1">
      <c r="B611" s="577" t="s">
        <v>627</v>
      </c>
      <c r="C611" s="578"/>
      <c r="D611" s="578"/>
      <c r="E611" s="578"/>
      <c r="F611" s="578"/>
      <c r="G611" s="578"/>
      <c r="H611" s="578"/>
      <c r="I611" s="578"/>
      <c r="J611" s="296">
        <f>SUM(J594:J610)</f>
        <v>88547.955329068733</v>
      </c>
    </row>
    <row r="612" spans="1:10" s="147" customFormat="1">
      <c r="B612" s="237" t="s">
        <v>628</v>
      </c>
      <c r="C612" s="238"/>
      <c r="D612" s="533"/>
      <c r="E612" s="239" t="s">
        <v>526</v>
      </c>
      <c r="F612" s="238"/>
      <c r="G612" s="312"/>
      <c r="H612" s="300"/>
      <c r="I612" s="285"/>
      <c r="J612" s="294"/>
    </row>
    <row r="613" spans="1:10" s="276" customFormat="1">
      <c r="A613" s="263"/>
      <c r="B613" s="381" t="s">
        <v>629</v>
      </c>
      <c r="C613" s="382" t="s">
        <v>711</v>
      </c>
      <c r="D613" s="383" t="str">
        <f>COMPOSIÇÕES!B75</f>
        <v>FDE - 07/2023</v>
      </c>
      <c r="E613" s="344" t="s">
        <v>745</v>
      </c>
      <c r="F613" s="382" t="s">
        <v>431</v>
      </c>
      <c r="G613" s="316">
        <v>14</v>
      </c>
      <c r="H613" s="290">
        <f>SUM(COMPOSIÇÕES!G76:G78)</f>
        <v>34.013252032520327</v>
      </c>
      <c r="I613" s="287">
        <f>COMPOSIÇÕES!$J$75</f>
        <v>40.645836178861792</v>
      </c>
      <c r="J613" s="384">
        <f t="shared" ref="J613:J633" si="76">G613*I613</f>
        <v>569.04170650406513</v>
      </c>
    </row>
    <row r="614" spans="1:10" s="276" customFormat="1">
      <c r="A614" s="263"/>
      <c r="B614" s="381" t="s">
        <v>630</v>
      </c>
      <c r="C614" s="382" t="s">
        <v>739</v>
      </c>
      <c r="D614" s="383" t="str">
        <f>COMPOSIÇÕES!B83</f>
        <v>FDE - 07/2023</v>
      </c>
      <c r="E614" s="344" t="s">
        <v>766</v>
      </c>
      <c r="F614" s="382" t="s">
        <v>431</v>
      </c>
      <c r="G614" s="316">
        <v>6</v>
      </c>
      <c r="H614" s="530">
        <f>VLOOKUP(C614,COMPOSIÇÕES!A:J,6,FALSE)</f>
        <v>32.35146443514644</v>
      </c>
      <c r="I614" s="287">
        <f>COMPOSIÇÕES!$J$83</f>
        <v>38.659999999999997</v>
      </c>
      <c r="J614" s="384">
        <f t="shared" si="76"/>
        <v>231.95999999999998</v>
      </c>
    </row>
    <row r="615" spans="1:10" s="276" customFormat="1">
      <c r="A615" s="263"/>
      <c r="B615" s="381" t="s">
        <v>631</v>
      </c>
      <c r="C615" s="382" t="s">
        <v>739</v>
      </c>
      <c r="D615" s="383" t="str">
        <f>COMPOSIÇÕES!B83</f>
        <v>FDE - 07/2023</v>
      </c>
      <c r="E615" s="344" t="s">
        <v>767</v>
      </c>
      <c r="F615" s="382" t="s">
        <v>431</v>
      </c>
      <c r="G615" s="316">
        <v>6</v>
      </c>
      <c r="H615" s="530">
        <f>VLOOKUP(C615,COMPOSIÇÕES!A:J,6,FALSE)</f>
        <v>32.35146443514644</v>
      </c>
      <c r="I615" s="287">
        <f>COMPOSIÇÕES!$J$83</f>
        <v>38.659999999999997</v>
      </c>
      <c r="J615" s="384">
        <f t="shared" si="76"/>
        <v>231.95999999999998</v>
      </c>
    </row>
    <row r="616" spans="1:10" s="276" customFormat="1">
      <c r="A616" s="263"/>
      <c r="B616" s="381" t="s">
        <v>632</v>
      </c>
      <c r="C616" s="382" t="s">
        <v>739</v>
      </c>
      <c r="D616" s="383" t="str">
        <f>COMPOSIÇÕES!B83</f>
        <v>FDE - 07/2023</v>
      </c>
      <c r="E616" s="344" t="s">
        <v>768</v>
      </c>
      <c r="F616" s="382" t="s">
        <v>431</v>
      </c>
      <c r="G616" s="316">
        <v>2</v>
      </c>
      <c r="H616" s="530">
        <f>VLOOKUP(C616,COMPOSIÇÕES!A:J,6,FALSE)</f>
        <v>32.35146443514644</v>
      </c>
      <c r="I616" s="287">
        <f>COMPOSIÇÕES!$J$83</f>
        <v>38.659999999999997</v>
      </c>
      <c r="J616" s="384">
        <f t="shared" si="76"/>
        <v>77.319999999999993</v>
      </c>
    </row>
    <row r="617" spans="1:10" s="276" customFormat="1">
      <c r="A617" s="263"/>
      <c r="B617" s="381" t="s">
        <v>633</v>
      </c>
      <c r="C617" s="382" t="s">
        <v>735</v>
      </c>
      <c r="D617" s="383" t="str">
        <f>COMPOSIÇÕES!B89</f>
        <v>FDE - 07/2023</v>
      </c>
      <c r="E617" s="344" t="s">
        <v>736</v>
      </c>
      <c r="F617" s="382" t="s">
        <v>431</v>
      </c>
      <c r="G617" s="316">
        <v>95</v>
      </c>
      <c r="H617" s="530">
        <f>VLOOKUP(C617,COMPOSIÇÕES!A:J,6,FALSE)</f>
        <v>7.8158995815899575</v>
      </c>
      <c r="I617" s="287">
        <f>COMPOSIÇÕES!$J$89</f>
        <v>9.34</v>
      </c>
      <c r="J617" s="384">
        <f t="shared" si="76"/>
        <v>887.3</v>
      </c>
    </row>
    <row r="618" spans="1:10" s="276" customFormat="1" ht="28.8">
      <c r="A618" s="263"/>
      <c r="B618" s="381" t="s">
        <v>1628</v>
      </c>
      <c r="C618" s="383" t="str">
        <f>COMPOSIÇÕES!A91</f>
        <v>38.21.920</v>
      </c>
      <c r="D618" s="383" t="str">
        <f>COMPOSIÇÕES!B91</f>
        <v>CDHU - BOLETIM 191</v>
      </c>
      <c r="E618" s="388" t="str">
        <f>COMPOSIÇÕES!C91</f>
        <v>Eletrocalha perfurada galvanizada a fogo, 100 x 50 mm, com acessórios</v>
      </c>
      <c r="F618" s="382" t="s">
        <v>412</v>
      </c>
      <c r="G618" s="316">
        <f>21*3</f>
        <v>63</v>
      </c>
      <c r="H618" s="530">
        <f>VLOOKUP(C618,COMPOSIÇÕES!A:J,6,FALSE)</f>
        <v>98.38</v>
      </c>
      <c r="I618" s="287">
        <f>COMPOSIÇÕES!$J$91</f>
        <v>117.5641</v>
      </c>
      <c r="J618" s="384">
        <f t="shared" si="76"/>
        <v>7406.5383000000002</v>
      </c>
    </row>
    <row r="619" spans="1:10" s="276" customFormat="1" ht="28.8">
      <c r="A619" s="263"/>
      <c r="B619" s="381" t="s">
        <v>1629</v>
      </c>
      <c r="C619" s="383" t="str">
        <f>COMPOSIÇÕES!A92</f>
        <v>38.06.040</v>
      </c>
      <c r="D619" s="383" t="str">
        <f>COMPOSIÇÕES!B92</f>
        <v>CDHU - BOLETIM 191</v>
      </c>
      <c r="E619" s="388" t="str">
        <f>COMPOSIÇÕES!C92</f>
        <v>Eletroduto galvanizado a quente conforme NBR5598 ‐ 3/4´ com acessórios</v>
      </c>
      <c r="F619" s="382" t="s">
        <v>412</v>
      </c>
      <c r="G619" s="316">
        <f>9*3</f>
        <v>27</v>
      </c>
      <c r="H619" s="530">
        <f>VLOOKUP(C619,COMPOSIÇÕES!A:J,6,FALSE)</f>
        <v>60.65</v>
      </c>
      <c r="I619" s="287">
        <f>COMPOSIÇÕES!$J$92</f>
        <v>72.476749999999996</v>
      </c>
      <c r="J619" s="384">
        <f t="shared" si="76"/>
        <v>1956.8722499999999</v>
      </c>
    </row>
    <row r="620" spans="1:10" s="276" customFormat="1" ht="28.8">
      <c r="A620" s="263"/>
      <c r="B620" s="381" t="s">
        <v>1630</v>
      </c>
      <c r="C620" s="382" t="str">
        <f>COMPOSIÇÕES!A163</f>
        <v>38.06.160</v>
      </c>
      <c r="D620" s="383" t="str">
        <f>COMPOSIÇÕES!B163</f>
        <v>CDHU - BOLETIM 191</v>
      </c>
      <c r="E620" s="388" t="str">
        <f>COMPOSIÇÕES!C163</f>
        <v>Eletroduto galvanizado a quente conforme NBR5598 ‐ 3´ com acessórios</v>
      </c>
      <c r="F620" s="382" t="s">
        <v>431</v>
      </c>
      <c r="G620" s="316">
        <f>3*3</f>
        <v>9</v>
      </c>
      <c r="H620" s="530">
        <f>VLOOKUP(C620,COMPOSIÇÕES!A:J,6,FALSE)</f>
        <v>212.36</v>
      </c>
      <c r="I620" s="287">
        <f>COMPOSIÇÕES!$J$163</f>
        <v>253.77020000000002</v>
      </c>
      <c r="J620" s="384">
        <f t="shared" si="76"/>
        <v>2283.9318000000003</v>
      </c>
    </row>
    <row r="621" spans="1:10" s="276" customFormat="1" ht="28.8">
      <c r="A621" s="263"/>
      <c r="B621" s="381" t="s">
        <v>1631</v>
      </c>
      <c r="C621" s="382">
        <v>91927</v>
      </c>
      <c r="D621" s="383" t="str">
        <f>COMPOSIÇÕES!B97</f>
        <v>SINAPI SP - 08/2023</v>
      </c>
      <c r="E621" s="344" t="s">
        <v>770</v>
      </c>
      <c r="F621" s="382" t="s">
        <v>412</v>
      </c>
      <c r="G621" s="316">
        <v>450</v>
      </c>
      <c r="H621" s="530">
        <f>VLOOKUP(C621,COMPOSIÇÕES!A:J,6,FALSE)</f>
        <v>4.8</v>
      </c>
      <c r="I621" s="287">
        <f>COMPOSIÇÕES!$J$96</f>
        <v>5.7359999999999998</v>
      </c>
      <c r="J621" s="384">
        <f t="shared" si="76"/>
        <v>2581.1999999999998</v>
      </c>
    </row>
    <row r="622" spans="1:10" s="276" customFormat="1" ht="28.8">
      <c r="A622" s="263"/>
      <c r="B622" s="381" t="s">
        <v>1632</v>
      </c>
      <c r="C622" s="382">
        <v>91927</v>
      </c>
      <c r="D622" s="383" t="str">
        <f t="shared" ref="D622:D624" si="77">$D$621</f>
        <v>SINAPI SP - 08/2023</v>
      </c>
      <c r="E622" s="344" t="s">
        <v>771</v>
      </c>
      <c r="F622" s="382" t="s">
        <v>412</v>
      </c>
      <c r="G622" s="316">
        <v>450</v>
      </c>
      <c r="H622" s="530">
        <f>VLOOKUP(C622,COMPOSIÇÕES!A:J,6,FALSE)</f>
        <v>4.8</v>
      </c>
      <c r="I622" s="287">
        <f>COMPOSIÇÕES!$J$96</f>
        <v>5.7359999999999998</v>
      </c>
      <c r="J622" s="384">
        <f t="shared" si="76"/>
        <v>2581.1999999999998</v>
      </c>
    </row>
    <row r="623" spans="1:10" s="276" customFormat="1" ht="28.8">
      <c r="A623" s="263"/>
      <c r="B623" s="381" t="s">
        <v>1633</v>
      </c>
      <c r="C623" s="382">
        <v>91927</v>
      </c>
      <c r="D623" s="383" t="str">
        <f t="shared" si="77"/>
        <v>SINAPI SP - 08/2023</v>
      </c>
      <c r="E623" s="344" t="s">
        <v>772</v>
      </c>
      <c r="F623" s="382" t="s">
        <v>412</v>
      </c>
      <c r="G623" s="316">
        <v>450</v>
      </c>
      <c r="H623" s="530">
        <f>VLOOKUP(C623,COMPOSIÇÕES!A:J,6,FALSE)</f>
        <v>4.8</v>
      </c>
      <c r="I623" s="287">
        <f>COMPOSIÇÕES!$J$96</f>
        <v>5.7359999999999998</v>
      </c>
      <c r="J623" s="384">
        <f t="shared" si="76"/>
        <v>2581.1999999999998</v>
      </c>
    </row>
    <row r="624" spans="1:10" s="276" customFormat="1" ht="28.8">
      <c r="A624" s="263"/>
      <c r="B624" s="381" t="s">
        <v>1634</v>
      </c>
      <c r="C624" s="382">
        <v>91927</v>
      </c>
      <c r="D624" s="383" t="str">
        <f t="shared" si="77"/>
        <v>SINAPI SP - 08/2023</v>
      </c>
      <c r="E624" s="344" t="s">
        <v>773</v>
      </c>
      <c r="F624" s="382" t="s">
        <v>412</v>
      </c>
      <c r="G624" s="316">
        <v>200</v>
      </c>
      <c r="H624" s="530">
        <f>VLOOKUP(C624,COMPOSIÇÕES!A:J,6,FALSE)</f>
        <v>4.8</v>
      </c>
      <c r="I624" s="287">
        <f>COMPOSIÇÕES!$J$96</f>
        <v>5.7359999999999998</v>
      </c>
      <c r="J624" s="384">
        <f t="shared" si="76"/>
        <v>1147.2</v>
      </c>
    </row>
    <row r="625" spans="1:10" s="276" customFormat="1" ht="28.8">
      <c r="A625" s="263"/>
      <c r="B625" s="381" t="s">
        <v>1635</v>
      </c>
      <c r="C625" s="382">
        <v>92984</v>
      </c>
      <c r="D625" s="383" t="str">
        <f>COMPOSIÇÕES!B98</f>
        <v>SINAPI SP - 08/2023</v>
      </c>
      <c r="E625" s="344" t="s">
        <v>777</v>
      </c>
      <c r="F625" s="382" t="s">
        <v>412</v>
      </c>
      <c r="G625" s="316">
        <v>20</v>
      </c>
      <c r="H625" s="530">
        <f>VLOOKUP(C625,COMPOSIÇÕES!A:J,6,FALSE)</f>
        <v>23.65</v>
      </c>
      <c r="I625" s="287">
        <f>COMPOSIÇÕES!$J$98</f>
        <v>28.261749999999999</v>
      </c>
      <c r="J625" s="384">
        <f t="shared" si="76"/>
        <v>565.23500000000001</v>
      </c>
    </row>
    <row r="626" spans="1:10" s="276" customFormat="1" ht="28.8">
      <c r="A626" s="263"/>
      <c r="B626" s="381" t="s">
        <v>1636</v>
      </c>
      <c r="C626" s="382">
        <v>92988</v>
      </c>
      <c r="D626" s="383" t="str">
        <f>COMPOSIÇÕES!B99</f>
        <v>SINAPI SP - 08/2023</v>
      </c>
      <c r="E626" s="344" t="s">
        <v>778</v>
      </c>
      <c r="F626" s="382" t="s">
        <v>412</v>
      </c>
      <c r="G626" s="316">
        <v>20</v>
      </c>
      <c r="H626" s="530">
        <f>VLOOKUP(C626,COMPOSIÇÕES!A:J,6,FALSE)</f>
        <v>46.05</v>
      </c>
      <c r="I626" s="287">
        <f>COMPOSIÇÕES!$J$99</f>
        <v>55.029749999999993</v>
      </c>
      <c r="J626" s="384">
        <f t="shared" si="76"/>
        <v>1100.5949999999998</v>
      </c>
    </row>
    <row r="627" spans="1:10" s="276" customFormat="1" ht="28.8">
      <c r="A627" s="263"/>
      <c r="B627" s="381" t="s">
        <v>1637</v>
      </c>
      <c r="C627" s="382">
        <v>92988</v>
      </c>
      <c r="D627" s="383" t="str">
        <f t="shared" ref="D627:D629" si="78">$D$626</f>
        <v>SINAPI SP - 08/2023</v>
      </c>
      <c r="E627" s="344" t="s">
        <v>779</v>
      </c>
      <c r="F627" s="382" t="s">
        <v>412</v>
      </c>
      <c r="G627" s="316">
        <v>20</v>
      </c>
      <c r="H627" s="530">
        <f>VLOOKUP(C627,COMPOSIÇÕES!A:J,6,FALSE)</f>
        <v>46.05</v>
      </c>
      <c r="I627" s="287">
        <f>COMPOSIÇÕES!$J$99</f>
        <v>55.029749999999993</v>
      </c>
      <c r="J627" s="384">
        <f t="shared" si="76"/>
        <v>1100.5949999999998</v>
      </c>
    </row>
    <row r="628" spans="1:10" s="276" customFormat="1" ht="28.8">
      <c r="A628" s="263"/>
      <c r="B628" s="381" t="s">
        <v>1638</v>
      </c>
      <c r="C628" s="382">
        <v>92988</v>
      </c>
      <c r="D628" s="383" t="str">
        <f t="shared" si="78"/>
        <v>SINAPI SP - 08/2023</v>
      </c>
      <c r="E628" s="344" t="s">
        <v>780</v>
      </c>
      <c r="F628" s="382" t="s">
        <v>412</v>
      </c>
      <c r="G628" s="316">
        <v>20</v>
      </c>
      <c r="H628" s="530">
        <f>VLOOKUP(C628,COMPOSIÇÕES!A:J,6,FALSE)</f>
        <v>46.05</v>
      </c>
      <c r="I628" s="287">
        <f>COMPOSIÇÕES!$J$99</f>
        <v>55.029749999999993</v>
      </c>
      <c r="J628" s="384">
        <f t="shared" si="76"/>
        <v>1100.5949999999998</v>
      </c>
    </row>
    <row r="629" spans="1:10" s="276" customFormat="1" ht="28.8">
      <c r="A629" s="263"/>
      <c r="B629" s="381" t="s">
        <v>1639</v>
      </c>
      <c r="C629" s="382">
        <v>92988</v>
      </c>
      <c r="D629" s="383" t="str">
        <f t="shared" si="78"/>
        <v>SINAPI SP - 08/2023</v>
      </c>
      <c r="E629" s="344" t="s">
        <v>847</v>
      </c>
      <c r="F629" s="382" t="s">
        <v>412</v>
      </c>
      <c r="G629" s="316">
        <v>20</v>
      </c>
      <c r="H629" s="530">
        <f>VLOOKUP(C629,COMPOSIÇÕES!A:J,6,FALSE)</f>
        <v>46.05</v>
      </c>
      <c r="I629" s="287">
        <f>COMPOSIÇÕES!$J$99</f>
        <v>55.029749999999993</v>
      </c>
      <c r="J629" s="384">
        <f t="shared" si="76"/>
        <v>1100.5949999999998</v>
      </c>
    </row>
    <row r="630" spans="1:10" s="276" customFormat="1">
      <c r="A630" s="263"/>
      <c r="B630" s="381" t="s">
        <v>1640</v>
      </c>
      <c r="C630" s="382" t="str">
        <f>COMPOSIÇÕES!A103</f>
        <v>09.82.027</v>
      </c>
      <c r="D630" s="383" t="str">
        <f>COMPOSIÇÕES!B103</f>
        <v>FDE - 07/2023</v>
      </c>
      <c r="E630" s="479" t="str">
        <f>COMPOSIÇÕES!C103</f>
        <v>TERMINAL OU CONECTOR DE PRESSAO PARA CABO 25MM</v>
      </c>
      <c r="F630" s="382" t="s">
        <v>431</v>
      </c>
      <c r="G630" s="316">
        <v>4</v>
      </c>
      <c r="H630" s="530">
        <f>VLOOKUP(C630,COMPOSIÇÕES!A:J,6,FALSE)</f>
        <v>22.98</v>
      </c>
      <c r="I630" s="287">
        <f>COMPOSIÇÕES!$J$103</f>
        <v>27.461100000000002</v>
      </c>
      <c r="J630" s="384">
        <f t="shared" si="76"/>
        <v>109.84440000000001</v>
      </c>
    </row>
    <row r="631" spans="1:10" s="276" customFormat="1">
      <c r="A631" s="263"/>
      <c r="B631" s="381" t="s">
        <v>1641</v>
      </c>
      <c r="C631" s="382" t="str">
        <f>COMPOSIÇÕES!A144</f>
        <v>09.82.028</v>
      </c>
      <c r="D631" s="383" t="str">
        <f>COMPOSIÇÕES!B144</f>
        <v>FDE - 07/2023</v>
      </c>
      <c r="E631" s="479" t="str">
        <f>COMPOSIÇÕES!C144</f>
        <v>TERMINAL OU CONECTOR DE PRESSAO PARA CABO 35MM</v>
      </c>
      <c r="F631" s="382" t="s">
        <v>431</v>
      </c>
      <c r="G631" s="316">
        <v>6</v>
      </c>
      <c r="H631" s="530">
        <f>VLOOKUP(C631,COMPOSIÇÕES!A:J,6,FALSE)</f>
        <v>28.62</v>
      </c>
      <c r="I631" s="287">
        <f>COMPOSIÇÕES!$J$144</f>
        <v>34.200900000000004</v>
      </c>
      <c r="J631" s="384">
        <f t="shared" si="76"/>
        <v>205.20540000000003</v>
      </c>
    </row>
    <row r="632" spans="1:10" s="276" customFormat="1">
      <c r="A632" s="263"/>
      <c r="B632" s="381" t="s">
        <v>1642</v>
      </c>
      <c r="C632" s="382" t="str">
        <f>COMPOSIÇÕES!A104</f>
        <v>09.82.029</v>
      </c>
      <c r="D632" s="383" t="str">
        <f>COMPOSIÇÕES!B104</f>
        <v>FDE - 07/2023</v>
      </c>
      <c r="E632" s="479" t="str">
        <f>COMPOSIÇÕES!C104</f>
        <v>TERMINAL OU CONECTOR DE PRESSAO PARA CABO 50MM</v>
      </c>
      <c r="F632" s="382" t="s">
        <v>431</v>
      </c>
      <c r="G632" s="316">
        <v>12</v>
      </c>
      <c r="H632" s="530">
        <f>VLOOKUP(C632,COMPOSIÇÕES!A:J,6,FALSE)</f>
        <v>34.06</v>
      </c>
      <c r="I632" s="287">
        <f>COMPOSIÇÕES!$J$104</f>
        <v>40.701700000000002</v>
      </c>
      <c r="J632" s="384">
        <f t="shared" si="76"/>
        <v>488.42040000000003</v>
      </c>
    </row>
    <row r="633" spans="1:10" s="263" customFormat="1" ht="72">
      <c r="B633" s="381" t="s">
        <v>1643</v>
      </c>
      <c r="C633" s="275" t="s">
        <v>711</v>
      </c>
      <c r="D633" s="277" t="str">
        <f>COMPOSIÇÕES!B107</f>
        <v>CDHU - BOLETIM 191 + FDE - 07/2023 + SINAPI SP - 08/2023</v>
      </c>
      <c r="E633" s="278" t="s">
        <v>1033</v>
      </c>
      <c r="F633" s="275" t="s">
        <v>530</v>
      </c>
      <c r="G633" s="313">
        <v>1</v>
      </c>
      <c r="H633" s="301">
        <f>SUM(COMPOSIÇÕES!G221:G227)</f>
        <v>7388.725395815899</v>
      </c>
      <c r="I633" s="286">
        <f>COMPOSIÇÕES!$J$220</f>
        <v>8829.5268479999995</v>
      </c>
      <c r="J633" s="295">
        <f t="shared" si="76"/>
        <v>8829.5268479999995</v>
      </c>
    </row>
    <row r="634" spans="1:10" s="147" customFormat="1">
      <c r="B634" s="577" t="s">
        <v>635</v>
      </c>
      <c r="C634" s="578"/>
      <c r="D634" s="578"/>
      <c r="E634" s="578"/>
      <c r="F634" s="578"/>
      <c r="G634" s="578"/>
      <c r="H634" s="578"/>
      <c r="I634" s="578"/>
      <c r="J634" s="296">
        <f>SUM(J613:J633)</f>
        <v>37136.336104504073</v>
      </c>
    </row>
    <row r="635" spans="1:10" s="263" customFormat="1">
      <c r="B635" s="237" t="s">
        <v>634</v>
      </c>
      <c r="C635" s="238"/>
      <c r="D635" s="533"/>
      <c r="E635" s="239" t="s">
        <v>650</v>
      </c>
      <c r="F635" s="238"/>
      <c r="G635" s="312"/>
      <c r="H635" s="300"/>
      <c r="I635" s="285"/>
      <c r="J635" s="294"/>
    </row>
    <row r="636" spans="1:10" s="276" customFormat="1">
      <c r="A636" s="263"/>
      <c r="B636" s="381" t="s">
        <v>636</v>
      </c>
      <c r="C636" s="382" t="s">
        <v>708</v>
      </c>
      <c r="D636" s="383" t="str">
        <f>COMPOSIÇÕES!B115</f>
        <v>FDE - 07/2023</v>
      </c>
      <c r="E636" s="344" t="s">
        <v>651</v>
      </c>
      <c r="F636" s="382" t="s">
        <v>541</v>
      </c>
      <c r="G636" s="316">
        <v>100</v>
      </c>
      <c r="H636" s="290">
        <f>COMPOSIÇÕES!$G$116</f>
        <v>5.116260162601626</v>
      </c>
      <c r="I636" s="287">
        <f>COMPOSIÇÕES!$J$115</f>
        <v>6.1139308943089432</v>
      </c>
      <c r="J636" s="384">
        <f>G636*I636</f>
        <v>611.39308943089429</v>
      </c>
    </row>
    <row r="637" spans="1:10" s="263" customFormat="1">
      <c r="B637" s="577" t="s">
        <v>637</v>
      </c>
      <c r="C637" s="578"/>
      <c r="D637" s="578"/>
      <c r="E637" s="578"/>
      <c r="F637" s="578"/>
      <c r="G637" s="578"/>
      <c r="H637" s="578"/>
      <c r="I637" s="578"/>
      <c r="J637" s="296">
        <f>J636</f>
        <v>611.39308943089429</v>
      </c>
    </row>
    <row r="638" spans="1:10" s="261" customFormat="1" ht="25.5" customHeight="1" thickBot="1">
      <c r="B638" s="564" t="s">
        <v>638</v>
      </c>
      <c r="C638" s="565"/>
      <c r="D638" s="565"/>
      <c r="E638" s="565"/>
      <c r="F638" s="565"/>
      <c r="G638" s="565"/>
      <c r="H638" s="565"/>
      <c r="I638" s="566"/>
      <c r="J638" s="297">
        <f>J592+J611+J634+J637</f>
        <v>128827.9235805037</v>
      </c>
    </row>
    <row r="639" spans="1:10" s="147" customFormat="1">
      <c r="B639" s="264" t="s">
        <v>501</v>
      </c>
      <c r="C639" s="265"/>
      <c r="D639" s="534"/>
      <c r="E639" s="266" t="s">
        <v>506</v>
      </c>
      <c r="F639" s="265"/>
      <c r="G639" s="310"/>
      <c r="H639" s="298"/>
      <c r="I639" s="283"/>
      <c r="J639" s="292"/>
    </row>
    <row r="640" spans="1:10" s="147" customFormat="1" ht="6" customHeight="1">
      <c r="B640" s="234"/>
      <c r="C640" s="235"/>
      <c r="D640" s="532"/>
      <c r="E640" s="236"/>
      <c r="F640" s="235"/>
      <c r="G640" s="311"/>
      <c r="H640" s="299"/>
      <c r="I640" s="284"/>
      <c r="J640" s="293"/>
    </row>
    <row r="641" spans="1:10" s="261" customFormat="1">
      <c r="B641" s="237" t="s">
        <v>28</v>
      </c>
      <c r="C641" s="238"/>
      <c r="D641" s="533"/>
      <c r="E641" s="239" t="s">
        <v>483</v>
      </c>
      <c r="F641" s="238"/>
      <c r="G641" s="312"/>
      <c r="H641" s="300"/>
      <c r="I641" s="285"/>
      <c r="J641" s="294"/>
    </row>
    <row r="642" spans="1:10" s="150" customFormat="1">
      <c r="B642" s="381" t="s">
        <v>502</v>
      </c>
      <c r="C642" s="382" t="s">
        <v>699</v>
      </c>
      <c r="D642" s="317" t="str">
        <f t="shared" ref="D642:I643" si="79">D523</f>
        <v>FDE - 07/2023</v>
      </c>
      <c r="E642" s="481" t="str">
        <f t="shared" si="79"/>
        <v>FORNECIMENTO E INSTALAÇAO DE PLACAS DE OBRA</v>
      </c>
      <c r="F642" s="316" t="str">
        <f t="shared" si="79"/>
        <v>M²</v>
      </c>
      <c r="G642" s="316">
        <f t="shared" si="79"/>
        <v>5</v>
      </c>
      <c r="H642" s="290">
        <f t="shared" si="79"/>
        <v>407.8057</v>
      </c>
      <c r="I642" s="287">
        <f t="shared" si="79"/>
        <v>487.3278115</v>
      </c>
      <c r="J642" s="384">
        <f>G642*I642</f>
        <v>2436.6390575</v>
      </c>
    </row>
    <row r="643" spans="1:10" s="150" customFormat="1" ht="28.8">
      <c r="B643" s="381" t="s">
        <v>799</v>
      </c>
      <c r="C643" s="382">
        <v>37524</v>
      </c>
      <c r="D643" s="317" t="str">
        <f t="shared" si="79"/>
        <v>SINAPI SP - 08/2023</v>
      </c>
      <c r="E643" s="482" t="str">
        <f t="shared" si="79"/>
        <v>ISOLAMENTO DE OBRA COM TELA PLASTICA COM MALHA DE 5MM E ESTRUTURA DE MADEIRA PONTALETEADA</v>
      </c>
      <c r="F643" s="316" t="str">
        <f t="shared" si="79"/>
        <v>M²</v>
      </c>
      <c r="G643" s="316">
        <f t="shared" si="79"/>
        <v>40</v>
      </c>
      <c r="H643" s="290">
        <f t="shared" si="79"/>
        <v>2</v>
      </c>
      <c r="I643" s="287">
        <f t="shared" si="79"/>
        <v>2.39</v>
      </c>
      <c r="J643" s="384">
        <f>G643*I643</f>
        <v>95.600000000000009</v>
      </c>
    </row>
    <row r="644" spans="1:10" s="261" customFormat="1">
      <c r="B644" s="577" t="s">
        <v>644</v>
      </c>
      <c r="C644" s="578"/>
      <c r="D644" s="578"/>
      <c r="E644" s="578"/>
      <c r="F644" s="578"/>
      <c r="G644" s="578"/>
      <c r="H644" s="578"/>
      <c r="I644" s="578"/>
      <c r="J644" s="296">
        <f>SUM(J642:J643)</f>
        <v>2532.2390574999999</v>
      </c>
    </row>
    <row r="645" spans="1:10" s="147" customFormat="1">
      <c r="B645" s="237" t="s">
        <v>32</v>
      </c>
      <c r="C645" s="238"/>
      <c r="D645" s="533"/>
      <c r="E645" s="239" t="s">
        <v>525</v>
      </c>
      <c r="F645" s="238"/>
      <c r="G645" s="312"/>
      <c r="H645" s="300"/>
      <c r="I645" s="285"/>
      <c r="J645" s="294"/>
    </row>
    <row r="646" spans="1:10" s="276" customFormat="1" ht="28.8">
      <c r="B646" s="381" t="s">
        <v>503</v>
      </c>
      <c r="C646" s="382" t="s">
        <v>711</v>
      </c>
      <c r="D646" s="383" t="str">
        <f>COMPOSIÇÕES!B10</f>
        <v>SINAPI SP - 08/2023</v>
      </c>
      <c r="E646" s="487" t="s">
        <v>2404</v>
      </c>
      <c r="F646" s="382" t="s">
        <v>431</v>
      </c>
      <c r="G646" s="315">
        <v>18</v>
      </c>
      <c r="H646" s="290">
        <f>SUM(COMPOSIÇÕES!G11:G13)</f>
        <v>328.17395199999999</v>
      </c>
      <c r="I646" s="287">
        <f>COMPOSIÇÕES!J10</f>
        <v>392.16787263999993</v>
      </c>
      <c r="J646" s="384">
        <f t="shared" ref="J646" si="80">G646*I646</f>
        <v>7059.0217075199989</v>
      </c>
    </row>
    <row r="647" spans="1:10" s="150" customFormat="1" ht="86.4">
      <c r="B647" s="381" t="s">
        <v>1645</v>
      </c>
      <c r="C647" s="382" t="s">
        <v>711</v>
      </c>
      <c r="D647" s="383" t="str">
        <f>COMPOSIÇÕES!B14</f>
        <v>SINAPI SP - 08/2023</v>
      </c>
      <c r="E647" s="344" t="s">
        <v>754</v>
      </c>
      <c r="F647" s="382" t="s">
        <v>412</v>
      </c>
      <c r="G647" s="317">
        <v>30</v>
      </c>
      <c r="H647" s="290">
        <f>COMPOSIÇÕES!G15+COMPOSIÇÕES!G16+COMPOSIÇÕES!G17+COMPOSIÇÕES!G18</f>
        <v>37.264400000000002</v>
      </c>
      <c r="I647" s="287">
        <f>COMPOSIÇÕES!$J$14</f>
        <v>44.530958000000005</v>
      </c>
      <c r="J647" s="384">
        <f>G647*I647</f>
        <v>1335.9287400000001</v>
      </c>
    </row>
    <row r="648" spans="1:10" s="150" customFormat="1" ht="86.4">
      <c r="B648" s="381" t="s">
        <v>1646</v>
      </c>
      <c r="C648" s="382" t="s">
        <v>711</v>
      </c>
      <c r="D648" s="383" t="str">
        <f>COMPOSIÇÕES!B19</f>
        <v>SINAPI SP - 08/2023</v>
      </c>
      <c r="E648" s="344" t="s">
        <v>755</v>
      </c>
      <c r="F648" s="382" t="s">
        <v>412</v>
      </c>
      <c r="G648" s="317">
        <v>30</v>
      </c>
      <c r="H648" s="290">
        <f>SUM(COMPOSIÇÕES!G20:G23)</f>
        <v>69.234999999999985</v>
      </c>
      <c r="I648" s="287">
        <f>COMPOSIÇÕES!$J$19</f>
        <v>82.735824999999991</v>
      </c>
      <c r="J648" s="384">
        <f t="shared" ref="J648:J657" si="81">G648*I648</f>
        <v>2482.0747499999998</v>
      </c>
    </row>
    <row r="649" spans="1:10" s="150" customFormat="1" ht="86.4">
      <c r="B649" s="381" t="s">
        <v>1647</v>
      </c>
      <c r="C649" s="382" t="s">
        <v>711</v>
      </c>
      <c r="D649" s="383" t="str">
        <f>COMPOSIÇÕES!B24</f>
        <v>SINAPI SP - 08/2023</v>
      </c>
      <c r="E649" s="344" t="s">
        <v>747</v>
      </c>
      <c r="F649" s="382" t="s">
        <v>412</v>
      </c>
      <c r="G649" s="317">
        <v>25</v>
      </c>
      <c r="H649" s="290">
        <f>SUM(COMPOSIÇÕES!G25:G28)</f>
        <v>53.322000000000003</v>
      </c>
      <c r="I649" s="287">
        <f>COMPOSIÇÕES!$J$24</f>
        <v>63.719789999999996</v>
      </c>
      <c r="J649" s="384">
        <f t="shared" si="81"/>
        <v>1592.9947499999998</v>
      </c>
    </row>
    <row r="650" spans="1:10" s="393" customFormat="1" ht="86.4">
      <c r="A650" s="150"/>
      <c r="B650" s="381" t="s">
        <v>1648</v>
      </c>
      <c r="C650" s="394" t="s">
        <v>711</v>
      </c>
      <c r="D650" s="389" t="str">
        <f>COMPOSIÇÕES!B29</f>
        <v xml:space="preserve">SINAPI SP - 08/2023 </v>
      </c>
      <c r="E650" s="395" t="s">
        <v>748</v>
      </c>
      <c r="F650" s="394" t="s">
        <v>412</v>
      </c>
      <c r="G650" s="315">
        <v>25</v>
      </c>
      <c r="H650" s="392">
        <f>SUM(COMPOSIÇÕES!G30:G33)</f>
        <v>85.438000000000002</v>
      </c>
      <c r="I650" s="396">
        <f>COMPOSIÇÕES!$J$29</f>
        <v>102.09840999999999</v>
      </c>
      <c r="J650" s="397">
        <f t="shared" si="81"/>
        <v>2552.4602499999996</v>
      </c>
    </row>
    <row r="651" spans="1:10" s="393" customFormat="1" ht="28.8">
      <c r="A651" s="150"/>
      <c r="B651" s="381" t="s">
        <v>1649</v>
      </c>
      <c r="C651" s="394" t="str">
        <f t="shared" ref="C651:I651" si="82">C599</f>
        <v>22.02.030</v>
      </c>
      <c r="D651" s="389" t="str">
        <f t="shared" si="82"/>
        <v>CDHU - BOLETIM 191</v>
      </c>
      <c r="E651" s="395" t="str">
        <f t="shared" si="82"/>
        <v>Forro em painéis de gesso acartonado, espessura de 12,5mm, fixo</v>
      </c>
      <c r="F651" s="394" t="str">
        <f t="shared" si="82"/>
        <v>M²</v>
      </c>
      <c r="G651" s="315">
        <f>5*0.55*2*9</f>
        <v>49.5</v>
      </c>
      <c r="H651" s="392">
        <f t="shared" si="82"/>
        <v>99.47</v>
      </c>
      <c r="I651" s="396">
        <f t="shared" si="82"/>
        <v>118.86664999999999</v>
      </c>
      <c r="J651" s="397">
        <f t="shared" si="81"/>
        <v>5883.8991749999996</v>
      </c>
    </row>
    <row r="652" spans="1:10" s="150" customFormat="1" ht="57.6">
      <c r="B652" s="381" t="s">
        <v>1650</v>
      </c>
      <c r="C652" s="382" t="s">
        <v>711</v>
      </c>
      <c r="D652" s="383" t="str">
        <f>COMPOSIÇÕES!B36</f>
        <v xml:space="preserve">SINAPI SP - 08/2023 </v>
      </c>
      <c r="E652" s="398" t="s">
        <v>756</v>
      </c>
      <c r="F652" s="382" t="s">
        <v>413</v>
      </c>
      <c r="G652" s="315">
        <v>400</v>
      </c>
      <c r="H652" s="287">
        <f>COMPOSIÇÕES!G37+COMPOSIÇÕES!G38+COMPOSIÇÕES!G39</f>
        <v>84.94</v>
      </c>
      <c r="I652" s="287">
        <f>COMPOSIÇÕES!$J$36</f>
        <v>101.5033</v>
      </c>
      <c r="J652" s="384">
        <f t="shared" si="81"/>
        <v>40601.32</v>
      </c>
    </row>
    <row r="653" spans="1:10" s="335" customFormat="1" ht="28.8">
      <c r="A653" s="150"/>
      <c r="B653" s="381" t="s">
        <v>1651</v>
      </c>
      <c r="C653" s="383" t="str">
        <f>COMPOSIÇÕES!A44</f>
        <v>61.10.565</v>
      </c>
      <c r="D653" s="383" t="str">
        <f>COMPOSIÇÕES!B44</f>
        <v>CDHU - BOLETIM 191</v>
      </c>
      <c r="E653" s="388" t="s">
        <v>1042</v>
      </c>
      <c r="F653" s="382" t="s">
        <v>431</v>
      </c>
      <c r="G653" s="315">
        <v>7</v>
      </c>
      <c r="H653" s="287">
        <f>COMPOSIÇÕES!G45</f>
        <v>248.91654375000002</v>
      </c>
      <c r="I653" s="287">
        <f>COMPOSIÇÕES!$J$44</f>
        <v>297.45526978125002</v>
      </c>
      <c r="J653" s="384">
        <f t="shared" si="81"/>
        <v>2082.1868884687501</v>
      </c>
    </row>
    <row r="654" spans="1:10" s="335" customFormat="1" ht="28.8">
      <c r="A654" s="150"/>
      <c r="B654" s="381" t="s">
        <v>1652</v>
      </c>
      <c r="C654" s="383" t="str">
        <f>COMPOSIÇÕES!A48</f>
        <v>61.10.564</v>
      </c>
      <c r="D654" s="383" t="str">
        <f>COMPOSIÇÕES!B48</f>
        <v>CDHU - BOLETIM 191</v>
      </c>
      <c r="E654" s="388" t="s">
        <v>1044</v>
      </c>
      <c r="F654" s="382" t="s">
        <v>431</v>
      </c>
      <c r="G654" s="315">
        <v>2</v>
      </c>
      <c r="H654" s="287">
        <f>COMPOSIÇÕES!G49</f>
        <v>82.875240000000005</v>
      </c>
      <c r="I654" s="287">
        <f>COMPOSIÇÕES!$J$48</f>
        <v>99.035911800000008</v>
      </c>
      <c r="J654" s="384">
        <f t="shared" si="81"/>
        <v>198.07182360000002</v>
      </c>
    </row>
    <row r="655" spans="1:10" s="150" customFormat="1" ht="28.8">
      <c r="B655" s="381" t="s">
        <v>1653</v>
      </c>
      <c r="C655" s="383" t="str">
        <f>COMPOSIÇÕES!A122</f>
        <v>61.10.581</v>
      </c>
      <c r="D655" s="383" t="str">
        <f>COMPOSIÇÕES!B122</f>
        <v>CDHU - BOLETIM 191</v>
      </c>
      <c r="E655" s="388" t="s">
        <v>809</v>
      </c>
      <c r="F655" s="382" t="s">
        <v>431</v>
      </c>
      <c r="G655" s="317">
        <v>2</v>
      </c>
      <c r="H655" s="287">
        <f>SUM(COMPOSIÇÕES!$G$123:$G$123)</f>
        <v>33.890000000000008</v>
      </c>
      <c r="I655" s="287">
        <f>COMPOSIÇÕES!$J$122</f>
        <v>40.498550000000009</v>
      </c>
      <c r="J655" s="384">
        <f t="shared" si="81"/>
        <v>80.997100000000017</v>
      </c>
    </row>
    <row r="656" spans="1:10" s="150" customFormat="1" ht="28.8">
      <c r="B656" s="381" t="s">
        <v>1654</v>
      </c>
      <c r="C656" s="383" t="str">
        <f>COMPOSIÇÕES!A124</f>
        <v>61.10.581</v>
      </c>
      <c r="D656" s="383" t="str">
        <f>COMPOSIÇÕES!B124</f>
        <v>CDHU - BOLETIM 191</v>
      </c>
      <c r="E656" s="388" t="s">
        <v>1119</v>
      </c>
      <c r="F656" s="382" t="s">
        <v>431</v>
      </c>
      <c r="G656" s="317">
        <v>7</v>
      </c>
      <c r="H656" s="287">
        <f>SUM(COMPOSIÇÕES!$G$125:$G$125)</f>
        <v>203.34</v>
      </c>
      <c r="I656" s="287">
        <f>COMPOSIÇÕES!$J$124</f>
        <v>242.9913</v>
      </c>
      <c r="J656" s="384">
        <f t="shared" si="81"/>
        <v>1700.9391000000001</v>
      </c>
    </row>
    <row r="657" spans="1:10" s="150" customFormat="1" ht="28.8">
      <c r="A657" s="271"/>
      <c r="B657" s="381" t="s">
        <v>1655</v>
      </c>
      <c r="C657" s="382" t="s">
        <v>711</v>
      </c>
      <c r="D657" s="383" t="str">
        <f>COMPOSIÇÕES!B58</f>
        <v xml:space="preserve">SINAPI SP - 08/2023 </v>
      </c>
      <c r="E657" s="388" t="s">
        <v>758</v>
      </c>
      <c r="F657" s="382" t="s">
        <v>412</v>
      </c>
      <c r="G657" s="315">
        <v>83</v>
      </c>
      <c r="H657" s="287">
        <f>COMPOSIÇÕES!G59+COMPOSIÇÕES!G60+COMPOSIÇÕES!G61</f>
        <v>31.499000000000002</v>
      </c>
      <c r="I657" s="287">
        <f>COMPOSIÇÕES!$J$58</f>
        <v>37.641304999999996</v>
      </c>
      <c r="J657" s="384">
        <f t="shared" si="81"/>
        <v>3124.2283149999998</v>
      </c>
    </row>
    <row r="658" spans="1:10" s="150" customFormat="1" ht="28.8">
      <c r="A658" s="271"/>
      <c r="B658" s="381" t="s">
        <v>1656</v>
      </c>
      <c r="C658" s="382" t="s">
        <v>711</v>
      </c>
      <c r="D658" s="383" t="str">
        <f>COMPOSIÇÕES!B64</f>
        <v>SINAPI SP - 08/2023</v>
      </c>
      <c r="E658" s="388" t="s">
        <v>697</v>
      </c>
      <c r="F658" s="382" t="s">
        <v>431</v>
      </c>
      <c r="G658" s="315">
        <v>18</v>
      </c>
      <c r="H658" s="287">
        <f>SUM(COMPOSIÇÕES!$G$65:$G$67)</f>
        <v>92.32</v>
      </c>
      <c r="I658" s="287">
        <f>COMPOSIÇÕES!$J$64</f>
        <v>110.32240000000002</v>
      </c>
      <c r="J658" s="384">
        <f t="shared" ref="J658:J662" si="83">I658*G658</f>
        <v>1985.8032000000003</v>
      </c>
    </row>
    <row r="659" spans="1:10" s="150" customFormat="1" ht="28.8">
      <c r="A659" s="271"/>
      <c r="B659" s="381" t="s">
        <v>1657</v>
      </c>
      <c r="C659" s="382" t="s">
        <v>711</v>
      </c>
      <c r="D659" s="383" t="str">
        <f>COMPOSIÇÕES!B68</f>
        <v xml:space="preserve">SINAPI SP - 08/2023 </v>
      </c>
      <c r="E659" s="388" t="s">
        <v>762</v>
      </c>
      <c r="F659" s="382" t="s">
        <v>415</v>
      </c>
      <c r="G659" s="315">
        <v>1</v>
      </c>
      <c r="H659" s="287">
        <f>SUM(COMPOSIÇÕES!$G$69:$G$70)</f>
        <v>58.91</v>
      </c>
      <c r="I659" s="287">
        <f>COMPOSIÇÕES!$J$68</f>
        <v>70.397449999999992</v>
      </c>
      <c r="J659" s="384">
        <f t="shared" si="83"/>
        <v>70.397449999999992</v>
      </c>
    </row>
    <row r="660" spans="1:10" s="150" customFormat="1" ht="28.8">
      <c r="A660" s="271"/>
      <c r="B660" s="381" t="s">
        <v>1658</v>
      </c>
      <c r="C660" s="399" t="s">
        <v>763</v>
      </c>
      <c r="D660" s="273" t="str">
        <f>COMPOSIÇÕES!B71</f>
        <v xml:space="preserve">SINAPI SP - 08/2023 </v>
      </c>
      <c r="E660" s="400" t="s">
        <v>761</v>
      </c>
      <c r="F660" s="273" t="s">
        <v>541</v>
      </c>
      <c r="G660" s="316">
        <v>2</v>
      </c>
      <c r="H660" s="287">
        <f>SUM(COMPOSIÇÕES!$G$72:$G$72)</f>
        <v>28.8</v>
      </c>
      <c r="I660" s="287">
        <f>COMPOSIÇÕES!$J$71</f>
        <v>34.416000000000004</v>
      </c>
      <c r="J660" s="384">
        <f t="shared" si="83"/>
        <v>68.832000000000008</v>
      </c>
    </row>
    <row r="661" spans="1:10" s="150" customFormat="1">
      <c r="A661" s="271"/>
      <c r="B661" s="381" t="s">
        <v>2413</v>
      </c>
      <c r="C661" s="399" t="s">
        <v>759</v>
      </c>
      <c r="D661" s="273" t="str">
        <f>COMPOSIÇÕES!B73</f>
        <v>FDE - 07/2023</v>
      </c>
      <c r="E661" s="400" t="s">
        <v>760</v>
      </c>
      <c r="F661" s="273" t="s">
        <v>701</v>
      </c>
      <c r="G661" s="316">
        <v>1</v>
      </c>
      <c r="H661" s="530">
        <f>VLOOKUP(C661,COMPOSIÇÕES!A:J,6,FALSE)</f>
        <v>38.485355648535567</v>
      </c>
      <c r="I661" s="287">
        <f>COMPOSIÇÕES!$J$73</f>
        <v>45.99</v>
      </c>
      <c r="J661" s="384">
        <f t="shared" si="83"/>
        <v>45.99</v>
      </c>
    </row>
    <row r="662" spans="1:10" s="150" customFormat="1">
      <c r="A662" s="271"/>
      <c r="B662" s="381" t="s">
        <v>2445</v>
      </c>
      <c r="C662" s="399" t="s">
        <v>764</v>
      </c>
      <c r="D662" s="273" t="str">
        <f>COMPOSIÇÕES!B74</f>
        <v>FDE - 07/2023</v>
      </c>
      <c r="E662" s="400" t="s">
        <v>765</v>
      </c>
      <c r="F662" s="273" t="s">
        <v>541</v>
      </c>
      <c r="G662" s="316">
        <v>3</v>
      </c>
      <c r="H662" s="530">
        <f>VLOOKUP(C662,COMPOSIÇÕES!A:J,6,FALSE)</f>
        <v>210.81171548117152</v>
      </c>
      <c r="I662" s="287">
        <f>COMPOSIÇÕES!$J$74</f>
        <v>251.91999999999996</v>
      </c>
      <c r="J662" s="384">
        <f t="shared" si="83"/>
        <v>755.75999999999988</v>
      </c>
    </row>
    <row r="663" spans="1:10" s="263" customFormat="1">
      <c r="B663" s="577" t="s">
        <v>645</v>
      </c>
      <c r="C663" s="578"/>
      <c r="D663" s="578"/>
      <c r="E663" s="578"/>
      <c r="F663" s="578"/>
      <c r="G663" s="578"/>
      <c r="H663" s="578"/>
      <c r="I663" s="578"/>
      <c r="J663" s="296">
        <f>SUM(J646:J662)</f>
        <v>71620.905249588744</v>
      </c>
    </row>
    <row r="664" spans="1:10" s="147" customFormat="1">
      <c r="B664" s="237" t="s">
        <v>33</v>
      </c>
      <c r="C664" s="238"/>
      <c r="D664" s="533"/>
      <c r="E664" s="239" t="s">
        <v>526</v>
      </c>
      <c r="F664" s="238"/>
      <c r="G664" s="312"/>
      <c r="H664" s="300"/>
      <c r="I664" s="285"/>
      <c r="J664" s="294"/>
    </row>
    <row r="665" spans="1:10" s="276" customFormat="1">
      <c r="A665" s="263"/>
      <c r="B665" s="381" t="s">
        <v>639</v>
      </c>
      <c r="C665" s="382" t="s">
        <v>711</v>
      </c>
      <c r="D665" s="383" t="str">
        <f>COMPOSIÇÕES!B75</f>
        <v>FDE - 07/2023</v>
      </c>
      <c r="E665" s="344" t="s">
        <v>745</v>
      </c>
      <c r="F665" s="382" t="s">
        <v>431</v>
      </c>
      <c r="G665" s="316">
        <v>81</v>
      </c>
      <c r="H665" s="290">
        <f>COMPOSIÇÕES!G76+COMPOSIÇÕES!G77+COMPOSIÇÕES!G78</f>
        <v>34.013252032520327</v>
      </c>
      <c r="I665" s="287">
        <f>COMPOSIÇÕES!$J$75</f>
        <v>40.645836178861792</v>
      </c>
      <c r="J665" s="384">
        <f t="shared" ref="J665:J679" si="84">G665*I665</f>
        <v>3292.3127304878053</v>
      </c>
    </row>
    <row r="666" spans="1:10" s="276" customFormat="1" ht="43.2">
      <c r="A666" s="263"/>
      <c r="B666" s="381" t="s">
        <v>640</v>
      </c>
      <c r="C666" s="382" t="s">
        <v>711</v>
      </c>
      <c r="D666" s="383" t="str">
        <f>COMPOSIÇÕES!B128</f>
        <v>FDE - 07/2023 + SINAPI SP - 08/2023</v>
      </c>
      <c r="E666" s="344" t="s">
        <v>812</v>
      </c>
      <c r="F666" s="382" t="s">
        <v>431</v>
      </c>
      <c r="G666" s="316">
        <v>7</v>
      </c>
      <c r="H666" s="290">
        <f>COMPOSIÇÕES!G129+COMPOSIÇÕES!G130+COMPOSIÇÕES!G131</f>
        <v>23.056000000000001</v>
      </c>
      <c r="I666" s="287">
        <f>COMPOSIÇÕES!$J$128</f>
        <v>27.551920000000003</v>
      </c>
      <c r="J666" s="384">
        <f t="shared" si="84"/>
        <v>192.86344000000003</v>
      </c>
    </row>
    <row r="667" spans="1:10" s="276" customFormat="1" ht="43.2">
      <c r="A667" s="263"/>
      <c r="B667" s="381" t="s">
        <v>641</v>
      </c>
      <c r="C667" s="382" t="s">
        <v>711</v>
      </c>
      <c r="D667" s="383" t="str">
        <f>COMPOSIÇÕES!B228</f>
        <v>SINAPI SP - 08/2023</v>
      </c>
      <c r="E667" s="344" t="s">
        <v>832</v>
      </c>
      <c r="F667" s="382" t="s">
        <v>431</v>
      </c>
      <c r="G667" s="316">
        <v>3</v>
      </c>
      <c r="H667" s="290">
        <f>SUM(COMPOSIÇÕES!$G$229:$G$231)</f>
        <v>55.01</v>
      </c>
      <c r="I667" s="287">
        <f>COMPOSIÇÕES!$J$228</f>
        <v>65.736949999999993</v>
      </c>
      <c r="J667" s="384">
        <f t="shared" si="84"/>
        <v>197.21084999999999</v>
      </c>
    </row>
    <row r="668" spans="1:10" s="276" customFormat="1" ht="28.5" customHeight="1">
      <c r="A668" s="263"/>
      <c r="B668" s="381" t="s">
        <v>642</v>
      </c>
      <c r="C668" s="382" t="s">
        <v>739</v>
      </c>
      <c r="D668" s="383" t="str">
        <f>COMPOSIÇÕES!B83</f>
        <v>FDE - 07/2023</v>
      </c>
      <c r="E668" s="344" t="s">
        <v>766</v>
      </c>
      <c r="F668" s="382" t="s">
        <v>431</v>
      </c>
      <c r="G668" s="316">
        <v>3</v>
      </c>
      <c r="H668" s="530">
        <f>VLOOKUP(C668,COMPOSIÇÕES!A:J,6,FALSE)</f>
        <v>32.35146443514644</v>
      </c>
      <c r="I668" s="287">
        <f>COMPOSIÇÕES!$J$83</f>
        <v>38.659999999999997</v>
      </c>
      <c r="J668" s="384">
        <f t="shared" si="84"/>
        <v>115.97999999999999</v>
      </c>
    </row>
    <row r="669" spans="1:10" s="276" customFormat="1">
      <c r="A669" s="263"/>
      <c r="B669" s="381" t="s">
        <v>643</v>
      </c>
      <c r="C669" s="382" t="s">
        <v>739</v>
      </c>
      <c r="D669" s="383" t="str">
        <f t="shared" ref="D669:D670" si="85">$D$668</f>
        <v>FDE - 07/2023</v>
      </c>
      <c r="E669" s="344" t="s">
        <v>767</v>
      </c>
      <c r="F669" s="382" t="s">
        <v>431</v>
      </c>
      <c r="G669" s="316">
        <v>26</v>
      </c>
      <c r="H669" s="530">
        <f>VLOOKUP(C669,COMPOSIÇÕES!A:J,6,FALSE)</f>
        <v>32.35146443514644</v>
      </c>
      <c r="I669" s="287">
        <f>COMPOSIÇÕES!$J$83</f>
        <v>38.659999999999997</v>
      </c>
      <c r="J669" s="384">
        <f t="shared" si="84"/>
        <v>1005.1599999999999</v>
      </c>
    </row>
    <row r="670" spans="1:10" s="276" customFormat="1">
      <c r="A670" s="263"/>
      <c r="B670" s="381" t="s">
        <v>1659</v>
      </c>
      <c r="C670" s="382" t="s">
        <v>739</v>
      </c>
      <c r="D670" s="383" t="str">
        <f t="shared" si="85"/>
        <v>FDE - 07/2023</v>
      </c>
      <c r="E670" s="344" t="s">
        <v>768</v>
      </c>
      <c r="F670" s="382" t="s">
        <v>431</v>
      </c>
      <c r="G670" s="316">
        <v>8</v>
      </c>
      <c r="H670" s="530">
        <f>VLOOKUP(C670,COMPOSIÇÕES!A:J,6,FALSE)</f>
        <v>32.35146443514644</v>
      </c>
      <c r="I670" s="287">
        <f>COMPOSIÇÕES!$J$83</f>
        <v>38.659999999999997</v>
      </c>
      <c r="J670" s="384">
        <f t="shared" si="84"/>
        <v>309.27999999999997</v>
      </c>
    </row>
    <row r="671" spans="1:10" s="276" customFormat="1">
      <c r="A671" s="263"/>
      <c r="B671" s="381" t="s">
        <v>1660</v>
      </c>
      <c r="C671" s="382" t="s">
        <v>819</v>
      </c>
      <c r="D671" s="383" t="str">
        <f>COMPOSIÇÕES!B140</f>
        <v>FDE - 07/2023</v>
      </c>
      <c r="E671" s="344" t="s">
        <v>820</v>
      </c>
      <c r="F671" s="382" t="s">
        <v>431</v>
      </c>
      <c r="G671" s="316">
        <v>6</v>
      </c>
      <c r="H671" s="530">
        <f>COMPOSIÇÕES!F140</f>
        <v>68.63</v>
      </c>
      <c r="I671" s="287">
        <f>COMPOSIÇÕES!$J$140</f>
        <v>82.01285</v>
      </c>
      <c r="J671" s="384">
        <f t="shared" si="84"/>
        <v>492.07709999999997</v>
      </c>
    </row>
    <row r="672" spans="1:10" s="276" customFormat="1">
      <c r="A672" s="263"/>
      <c r="B672" s="381" t="s">
        <v>1661</v>
      </c>
      <c r="C672" s="382" t="s">
        <v>824</v>
      </c>
      <c r="D672" s="383" t="str">
        <f>COMPOSIÇÕES!B232</f>
        <v>FDE - 07/2023</v>
      </c>
      <c r="E672" s="344" t="s">
        <v>825</v>
      </c>
      <c r="F672" s="382" t="s">
        <v>431</v>
      </c>
      <c r="G672" s="316">
        <v>2</v>
      </c>
      <c r="H672" s="530">
        <f>VLOOKUP(C672,COMPOSIÇÕES!A:J,6,FALSE)</f>
        <v>95.397489539748946</v>
      </c>
      <c r="I672" s="287">
        <f>COMPOSIÇÕES!$J$232</f>
        <v>114</v>
      </c>
      <c r="J672" s="384">
        <f t="shared" si="84"/>
        <v>228</v>
      </c>
    </row>
    <row r="673" spans="1:10" s="276" customFormat="1" ht="33" customHeight="1">
      <c r="A673" s="263"/>
      <c r="B673" s="381" t="s">
        <v>1662</v>
      </c>
      <c r="C673" s="382" t="s">
        <v>824</v>
      </c>
      <c r="D673" s="383" t="str">
        <f>$D$672</f>
        <v>FDE - 07/2023</v>
      </c>
      <c r="E673" s="344" t="s">
        <v>827</v>
      </c>
      <c r="F673" s="382" t="s">
        <v>431</v>
      </c>
      <c r="G673" s="316">
        <v>3</v>
      </c>
      <c r="H673" s="530">
        <f>VLOOKUP(C673,COMPOSIÇÕES!A:J,6,FALSE)</f>
        <v>95.397489539748946</v>
      </c>
      <c r="I673" s="287">
        <f>COMPOSIÇÕES!$J$232</f>
        <v>114</v>
      </c>
      <c r="J673" s="384">
        <f t="shared" si="84"/>
        <v>342</v>
      </c>
    </row>
    <row r="674" spans="1:10" s="276" customFormat="1" ht="43.2">
      <c r="A674" s="263"/>
      <c r="B674" s="381" t="s">
        <v>1663</v>
      </c>
      <c r="C674" s="382" t="s">
        <v>711</v>
      </c>
      <c r="D674" s="383" t="str">
        <f>COMPOSIÇÕES!B233</f>
        <v>SINAPI SP - 08/2023</v>
      </c>
      <c r="E674" s="344" t="s">
        <v>831</v>
      </c>
      <c r="F674" s="382" t="s">
        <v>431</v>
      </c>
      <c r="G674" s="316">
        <v>1</v>
      </c>
      <c r="H674" s="290">
        <f>COMPOSIÇÕES!G234+COMPOSIÇÕES!G235+COMPOSIÇÕES!G236</f>
        <v>42.53</v>
      </c>
      <c r="I674" s="287">
        <f>COMPOSIÇÕES!$J$233</f>
        <v>50.823350000000005</v>
      </c>
      <c r="J674" s="384">
        <f t="shared" si="84"/>
        <v>50.823350000000005</v>
      </c>
    </row>
    <row r="675" spans="1:10" s="276" customFormat="1">
      <c r="A675" s="263"/>
      <c r="B675" s="381" t="s">
        <v>1664</v>
      </c>
      <c r="C675" s="382" t="s">
        <v>735</v>
      </c>
      <c r="D675" s="383" t="str">
        <f>COMPOSIÇÕES!B89</f>
        <v>FDE - 07/2023</v>
      </c>
      <c r="E675" s="344" t="s">
        <v>736</v>
      </c>
      <c r="F675" s="382" t="s">
        <v>431</v>
      </c>
      <c r="G675" s="316">
        <v>80</v>
      </c>
      <c r="H675" s="530">
        <f>VLOOKUP(C675,COMPOSIÇÕES!A:J,6,FALSE)</f>
        <v>7.8158995815899575</v>
      </c>
      <c r="I675" s="287">
        <f>COMPOSIÇÕES!$J$89</f>
        <v>9.34</v>
      </c>
      <c r="J675" s="384">
        <f t="shared" si="84"/>
        <v>747.2</v>
      </c>
    </row>
    <row r="676" spans="1:10" s="276" customFormat="1" ht="28.8">
      <c r="A676" s="263"/>
      <c r="B676" s="381" t="s">
        <v>1665</v>
      </c>
      <c r="C676" s="383" t="str">
        <f>COMPOSIÇÕES!A91</f>
        <v>38.21.920</v>
      </c>
      <c r="D676" s="383" t="str">
        <f>COMPOSIÇÕES!B91</f>
        <v>CDHU - BOLETIM 191</v>
      </c>
      <c r="E676" s="479" t="str">
        <f>COMPOSIÇÕES!C91</f>
        <v>Eletrocalha perfurada galvanizada a fogo, 100 x 50 mm, com acessórios</v>
      </c>
      <c r="F676" s="382" t="s">
        <v>412</v>
      </c>
      <c r="G676" s="316">
        <f>16*3</f>
        <v>48</v>
      </c>
      <c r="H676" s="530">
        <f>VLOOKUP(C676,COMPOSIÇÕES!A:J,6,FALSE)</f>
        <v>98.38</v>
      </c>
      <c r="I676" s="287">
        <f>COMPOSIÇÕES!$J$91</f>
        <v>117.5641</v>
      </c>
      <c r="J676" s="384">
        <f t="shared" si="84"/>
        <v>5643.0767999999998</v>
      </c>
    </row>
    <row r="677" spans="1:10" s="276" customFormat="1" ht="28.8">
      <c r="A677" s="263"/>
      <c r="B677" s="381" t="s">
        <v>1666</v>
      </c>
      <c r="C677" s="383" t="str">
        <f>COMPOSIÇÕES!A92</f>
        <v>38.06.040</v>
      </c>
      <c r="D677" s="383" t="str">
        <f>COMPOSIÇÕES!B92</f>
        <v>CDHU - BOLETIM 191</v>
      </c>
      <c r="E677" s="388" t="str">
        <f>COMPOSIÇÕES!C92</f>
        <v>Eletroduto galvanizado a quente conforme NBR5598 ‐ 3/4´ com acessórios</v>
      </c>
      <c r="F677" s="382" t="s">
        <v>412</v>
      </c>
      <c r="G677" s="316">
        <f>30*3</f>
        <v>90</v>
      </c>
      <c r="H677" s="530">
        <f>VLOOKUP(C677,COMPOSIÇÕES!A:J,6,FALSE)</f>
        <v>60.65</v>
      </c>
      <c r="I677" s="287">
        <f>COMPOSIÇÕES!$J$92</f>
        <v>72.476749999999996</v>
      </c>
      <c r="J677" s="384">
        <f t="shared" si="84"/>
        <v>6522.9074999999993</v>
      </c>
    </row>
    <row r="678" spans="1:10" s="276" customFormat="1" ht="28.8">
      <c r="A678" s="263"/>
      <c r="B678" s="381" t="s">
        <v>1667</v>
      </c>
      <c r="C678" s="383" t="str">
        <f>COMPOSIÇÕES!A142</f>
        <v>38.06.100</v>
      </c>
      <c r="D678" s="383" t="str">
        <f>COMPOSIÇÕES!B142</f>
        <v>CDHU - BOLETIM 191</v>
      </c>
      <c r="E678" s="388" t="str">
        <f>COMPOSIÇÕES!C142</f>
        <v>Eletroduto galvanizado a quente conforme NBR5598 ‐ 1 1/2´ com
acessórios</v>
      </c>
      <c r="F678" s="382" t="s">
        <v>412</v>
      </c>
      <c r="G678" s="316">
        <f>10*3</f>
        <v>30</v>
      </c>
      <c r="H678" s="530">
        <f>VLOOKUP(C678,COMPOSIÇÕES!A:J,6,FALSE)</f>
        <v>111.35</v>
      </c>
      <c r="I678" s="287">
        <f>COMPOSIÇÕES!$J$142</f>
        <v>133.06324999999998</v>
      </c>
      <c r="J678" s="384">
        <f t="shared" si="84"/>
        <v>3991.8974999999996</v>
      </c>
    </row>
    <row r="679" spans="1:10" s="276" customFormat="1" ht="28.8">
      <c r="A679" s="263"/>
      <c r="B679" s="381" t="s">
        <v>1668</v>
      </c>
      <c r="C679" s="383" t="str">
        <f>COMPOSIÇÕES!A191</f>
        <v>38.06.120</v>
      </c>
      <c r="D679" s="383" t="str">
        <f>COMPOSIÇÕES!B191</f>
        <v>CDHU - BOLETIM 191</v>
      </c>
      <c r="E679" s="388" t="str">
        <f>COMPOSIÇÕES!C191</f>
        <v>Eletroduto galvanizado a quente conforme NBR5598 ‐ 2´ com acessórios</v>
      </c>
      <c r="F679" s="382" t="s">
        <v>412</v>
      </c>
      <c r="G679" s="316">
        <f>8*3</f>
        <v>24</v>
      </c>
      <c r="H679" s="530">
        <f>VLOOKUP(C679,COMPOSIÇÕES!A:J,6,FALSE)</f>
        <v>128.12</v>
      </c>
      <c r="I679" s="287">
        <f>COMPOSIÇÕES!$J$191</f>
        <v>153.10340000000002</v>
      </c>
      <c r="J679" s="384">
        <f t="shared" si="84"/>
        <v>3674.4816000000005</v>
      </c>
    </row>
    <row r="680" spans="1:10" s="276" customFormat="1">
      <c r="A680" s="263"/>
      <c r="B680" s="381" t="s">
        <v>1669</v>
      </c>
      <c r="C680" s="382" t="s">
        <v>729</v>
      </c>
      <c r="D680" s="383" t="s">
        <v>2474</v>
      </c>
      <c r="E680" s="344" t="s">
        <v>730</v>
      </c>
      <c r="F680" s="382" t="s">
        <v>412</v>
      </c>
      <c r="G680" s="316">
        <v>1</v>
      </c>
      <c r="H680" s="530">
        <f>VLOOKUP(C680,COMPOSIÇÕES!A:J,6,FALSE)</f>
        <v>50.77</v>
      </c>
      <c r="I680" s="287">
        <f>COMPOSIÇÕES!$J$95</f>
        <v>60.670150000000007</v>
      </c>
      <c r="J680" s="384">
        <f t="shared" ref="J680:J692" si="86">G680*I680</f>
        <v>60.670150000000007</v>
      </c>
    </row>
    <row r="681" spans="1:10" s="276" customFormat="1" ht="28.8">
      <c r="A681" s="263"/>
      <c r="B681" s="381" t="s">
        <v>1670</v>
      </c>
      <c r="C681" s="382">
        <v>91927</v>
      </c>
      <c r="D681" s="383" t="str">
        <f>COMPOSIÇÕES!B96</f>
        <v>SINAPI SP - 08/2023</v>
      </c>
      <c r="E681" s="344" t="s">
        <v>770</v>
      </c>
      <c r="F681" s="382" t="s">
        <v>412</v>
      </c>
      <c r="G681" s="316">
        <v>600</v>
      </c>
      <c r="H681" s="530">
        <f>VLOOKUP(C681,COMPOSIÇÕES!A:J,6,FALSE)</f>
        <v>4.8</v>
      </c>
      <c r="I681" s="287">
        <f>COMPOSIÇÕES!$J$96</f>
        <v>5.7359999999999998</v>
      </c>
      <c r="J681" s="384">
        <f t="shared" si="86"/>
        <v>3441.6</v>
      </c>
    </row>
    <row r="682" spans="1:10" s="276" customFormat="1" ht="28.8">
      <c r="A682" s="263"/>
      <c r="B682" s="381" t="s">
        <v>1671</v>
      </c>
      <c r="C682" s="382">
        <v>91927</v>
      </c>
      <c r="D682" s="383" t="str">
        <f t="shared" ref="D682:D684" si="87">$D$681</f>
        <v>SINAPI SP - 08/2023</v>
      </c>
      <c r="E682" s="344" t="s">
        <v>771</v>
      </c>
      <c r="F682" s="382" t="s">
        <v>412</v>
      </c>
      <c r="G682" s="316">
        <v>600</v>
      </c>
      <c r="H682" s="530">
        <f>VLOOKUP(C682,COMPOSIÇÕES!A:J,6,FALSE)</f>
        <v>4.8</v>
      </c>
      <c r="I682" s="287">
        <f>COMPOSIÇÕES!$J$96</f>
        <v>5.7359999999999998</v>
      </c>
      <c r="J682" s="384">
        <f t="shared" si="86"/>
        <v>3441.6</v>
      </c>
    </row>
    <row r="683" spans="1:10" s="276" customFormat="1" ht="28.8">
      <c r="A683" s="263"/>
      <c r="B683" s="381" t="s">
        <v>1672</v>
      </c>
      <c r="C683" s="382">
        <v>91927</v>
      </c>
      <c r="D683" s="383" t="str">
        <f t="shared" si="87"/>
        <v>SINAPI SP - 08/2023</v>
      </c>
      <c r="E683" s="344" t="s">
        <v>772</v>
      </c>
      <c r="F683" s="382" t="s">
        <v>412</v>
      </c>
      <c r="G683" s="316">
        <v>600</v>
      </c>
      <c r="H683" s="530">
        <f>VLOOKUP(C683,COMPOSIÇÕES!A:J,6,FALSE)</f>
        <v>4.8</v>
      </c>
      <c r="I683" s="287">
        <f>COMPOSIÇÕES!$J$96</f>
        <v>5.7359999999999998</v>
      </c>
      <c r="J683" s="384">
        <f t="shared" si="86"/>
        <v>3441.6</v>
      </c>
    </row>
    <row r="684" spans="1:10" s="276" customFormat="1" ht="28.8">
      <c r="A684" s="263"/>
      <c r="B684" s="381" t="s">
        <v>1673</v>
      </c>
      <c r="C684" s="382">
        <v>91927</v>
      </c>
      <c r="D684" s="383" t="str">
        <f t="shared" si="87"/>
        <v>SINAPI SP - 08/2023</v>
      </c>
      <c r="E684" s="344" t="s">
        <v>773</v>
      </c>
      <c r="F684" s="382" t="s">
        <v>412</v>
      </c>
      <c r="G684" s="316">
        <v>200</v>
      </c>
      <c r="H684" s="530">
        <f>VLOOKUP(C684,COMPOSIÇÕES!A:J,6,FALSE)</f>
        <v>4.8</v>
      </c>
      <c r="I684" s="287">
        <f>COMPOSIÇÕES!$J$96</f>
        <v>5.7359999999999998</v>
      </c>
      <c r="J684" s="384">
        <f t="shared" si="86"/>
        <v>1147.2</v>
      </c>
    </row>
    <row r="685" spans="1:10" s="276" customFormat="1" ht="28.8">
      <c r="A685" s="263"/>
      <c r="B685" s="381" t="s">
        <v>1674</v>
      </c>
      <c r="C685" s="382">
        <v>92984</v>
      </c>
      <c r="D685" s="383" t="str">
        <f>COMPOSIÇÕES!B98</f>
        <v>SINAPI SP - 08/2023</v>
      </c>
      <c r="E685" s="344" t="s">
        <v>777</v>
      </c>
      <c r="F685" s="382" t="s">
        <v>412</v>
      </c>
      <c r="G685" s="316">
        <v>20</v>
      </c>
      <c r="H685" s="530">
        <f>VLOOKUP(C685,COMPOSIÇÕES!A:J,6,FALSE)</f>
        <v>23.65</v>
      </c>
      <c r="I685" s="287">
        <f>COMPOSIÇÕES!$J$98</f>
        <v>28.261749999999999</v>
      </c>
      <c r="J685" s="384">
        <f t="shared" si="86"/>
        <v>565.23500000000001</v>
      </c>
    </row>
    <row r="686" spans="1:10" s="276" customFormat="1" ht="28.8">
      <c r="A686" s="263"/>
      <c r="B686" s="381" t="s">
        <v>1675</v>
      </c>
      <c r="C686" s="382">
        <v>92988</v>
      </c>
      <c r="D686" s="383" t="str">
        <f>COMPOSIÇÕES!B99</f>
        <v>SINAPI SP - 08/2023</v>
      </c>
      <c r="E686" s="344" t="s">
        <v>778</v>
      </c>
      <c r="F686" s="382" t="s">
        <v>412</v>
      </c>
      <c r="G686" s="316">
        <v>20</v>
      </c>
      <c r="H686" s="530">
        <f>VLOOKUP(C686,COMPOSIÇÕES!A:J,6,FALSE)</f>
        <v>46.05</v>
      </c>
      <c r="I686" s="287">
        <f>COMPOSIÇÕES!$J$99</f>
        <v>55.029749999999993</v>
      </c>
      <c r="J686" s="384">
        <f t="shared" si="86"/>
        <v>1100.5949999999998</v>
      </c>
    </row>
    <row r="687" spans="1:10" s="276" customFormat="1" ht="28.8">
      <c r="A687" s="263"/>
      <c r="B687" s="381" t="s">
        <v>1676</v>
      </c>
      <c r="C687" s="382">
        <v>92988</v>
      </c>
      <c r="D687" s="383" t="str">
        <f t="shared" ref="D687:D689" si="88">$D$686</f>
        <v>SINAPI SP - 08/2023</v>
      </c>
      <c r="E687" s="344" t="s">
        <v>779</v>
      </c>
      <c r="F687" s="382" t="s">
        <v>412</v>
      </c>
      <c r="G687" s="316">
        <v>20</v>
      </c>
      <c r="H687" s="530">
        <f>VLOOKUP(C687,COMPOSIÇÕES!A:J,6,FALSE)</f>
        <v>46.05</v>
      </c>
      <c r="I687" s="287">
        <f>COMPOSIÇÕES!$J$99</f>
        <v>55.029749999999993</v>
      </c>
      <c r="J687" s="384">
        <f t="shared" si="86"/>
        <v>1100.5949999999998</v>
      </c>
    </row>
    <row r="688" spans="1:10" s="276" customFormat="1" ht="28.8">
      <c r="A688" s="263"/>
      <c r="B688" s="381" t="s">
        <v>1677</v>
      </c>
      <c r="C688" s="382">
        <v>92988</v>
      </c>
      <c r="D688" s="383" t="str">
        <f t="shared" si="88"/>
        <v>SINAPI SP - 08/2023</v>
      </c>
      <c r="E688" s="344" t="s">
        <v>780</v>
      </c>
      <c r="F688" s="382" t="s">
        <v>412</v>
      </c>
      <c r="G688" s="316">
        <v>20</v>
      </c>
      <c r="H688" s="530">
        <f>VLOOKUP(C688,COMPOSIÇÕES!A:J,6,FALSE)</f>
        <v>46.05</v>
      </c>
      <c r="I688" s="287">
        <f>COMPOSIÇÕES!$J$99</f>
        <v>55.029749999999993</v>
      </c>
      <c r="J688" s="384">
        <f t="shared" si="86"/>
        <v>1100.5949999999998</v>
      </c>
    </row>
    <row r="689" spans="1:10" s="276" customFormat="1" ht="28.8">
      <c r="A689" s="263"/>
      <c r="B689" s="381" t="s">
        <v>1678</v>
      </c>
      <c r="C689" s="382">
        <v>92988</v>
      </c>
      <c r="D689" s="383" t="str">
        <f t="shared" si="88"/>
        <v>SINAPI SP - 08/2023</v>
      </c>
      <c r="E689" s="344" t="s">
        <v>847</v>
      </c>
      <c r="F689" s="382" t="s">
        <v>412</v>
      </c>
      <c r="G689" s="316">
        <v>20</v>
      </c>
      <c r="H689" s="530">
        <f>VLOOKUP(C689,COMPOSIÇÕES!A:J,6,FALSE)</f>
        <v>46.05</v>
      </c>
      <c r="I689" s="287">
        <f>COMPOSIÇÕES!$J$99</f>
        <v>55.029749999999993</v>
      </c>
      <c r="J689" s="384">
        <f t="shared" si="86"/>
        <v>1100.5949999999998</v>
      </c>
    </row>
    <row r="690" spans="1:10" s="276" customFormat="1">
      <c r="A690" s="263"/>
      <c r="B690" s="381" t="s">
        <v>1679</v>
      </c>
      <c r="C690" s="383" t="str">
        <f>COMPOSIÇÕES!A103</f>
        <v>09.82.027</v>
      </c>
      <c r="D690" s="383" t="str">
        <f>COMPOSIÇÕES!B103</f>
        <v>FDE - 07/2023</v>
      </c>
      <c r="E690" s="344" t="s">
        <v>732</v>
      </c>
      <c r="F690" s="382" t="s">
        <v>431</v>
      </c>
      <c r="G690" s="316">
        <v>12</v>
      </c>
      <c r="H690" s="530">
        <f>VLOOKUP(C690,COMPOSIÇÕES!A:J,6,FALSE)</f>
        <v>22.98</v>
      </c>
      <c r="I690" s="287">
        <f>COMPOSIÇÕES!$J$103</f>
        <v>27.461100000000002</v>
      </c>
      <c r="J690" s="384">
        <f t="shared" si="86"/>
        <v>329.53320000000002</v>
      </c>
    </row>
    <row r="691" spans="1:10" s="276" customFormat="1">
      <c r="A691" s="263"/>
      <c r="B691" s="381" t="s">
        <v>1680</v>
      </c>
      <c r="C691" s="383" t="str">
        <f>COMPOSIÇÕES!A104</f>
        <v>09.82.029</v>
      </c>
      <c r="D691" s="383" t="str">
        <f>COMPOSIÇÕES!B104</f>
        <v>FDE - 07/2023</v>
      </c>
      <c r="E691" s="344" t="s">
        <v>731</v>
      </c>
      <c r="F691" s="382" t="s">
        <v>431</v>
      </c>
      <c r="G691" s="316">
        <v>12</v>
      </c>
      <c r="H691" s="530">
        <f>VLOOKUP(C691,COMPOSIÇÕES!A:J,6,FALSE)</f>
        <v>34.06</v>
      </c>
      <c r="I691" s="287">
        <f>COMPOSIÇÕES!$J$104</f>
        <v>40.701700000000002</v>
      </c>
      <c r="J691" s="384">
        <f t="shared" si="86"/>
        <v>488.42040000000003</v>
      </c>
    </row>
    <row r="692" spans="1:10" s="276" customFormat="1">
      <c r="A692" s="263"/>
      <c r="B692" s="381" t="s">
        <v>1681</v>
      </c>
      <c r="C692" s="383" t="str">
        <f>COMPOSIÇÕES!A166</f>
        <v>09.82.032</v>
      </c>
      <c r="D692" s="383" t="str">
        <f>COMPOSIÇÕES!B166</f>
        <v>FDE - 07/2023</v>
      </c>
      <c r="E692" s="344" t="s">
        <v>872</v>
      </c>
      <c r="F692" s="382" t="s">
        <v>431</v>
      </c>
      <c r="G692" s="316">
        <v>12</v>
      </c>
      <c r="H692" s="530">
        <f>VLOOKUP(C692,COMPOSIÇÕES!A:J,6,FALSE)</f>
        <v>56.55</v>
      </c>
      <c r="I692" s="287">
        <f>COMPOSIÇÕES!$J$166</f>
        <v>56.547400000000003</v>
      </c>
      <c r="J692" s="384">
        <f t="shared" si="86"/>
        <v>678.56880000000001</v>
      </c>
    </row>
    <row r="693" spans="1:10" s="263" customFormat="1" ht="72">
      <c r="B693" s="381" t="s">
        <v>1682</v>
      </c>
      <c r="C693" s="275" t="s">
        <v>711</v>
      </c>
      <c r="D693" s="277" t="str">
        <f>COMPOSIÇÕES!B237</f>
        <v>CDHU - BOLETIM 191 + FDE - 07/2023 + SINAPI SP - 08/2023</v>
      </c>
      <c r="E693" s="278" t="s">
        <v>1024</v>
      </c>
      <c r="F693" s="275" t="s">
        <v>530</v>
      </c>
      <c r="G693" s="313">
        <v>1</v>
      </c>
      <c r="H693" s="301">
        <f>SUM(COMPOSIÇÕES!G238:G244)</f>
        <v>7726.9848100418394</v>
      </c>
      <c r="I693" s="286">
        <f>COMPOSIÇÕES!$J$237</f>
        <v>9233.7468479999989</v>
      </c>
      <c r="J693" s="295">
        <f t="shared" ref="J693" si="89">G693*I693</f>
        <v>9233.7468479999989</v>
      </c>
    </row>
    <row r="694" spans="1:10" s="147" customFormat="1">
      <c r="B694" s="577" t="s">
        <v>646</v>
      </c>
      <c r="C694" s="578"/>
      <c r="D694" s="578"/>
      <c r="E694" s="578"/>
      <c r="F694" s="578"/>
      <c r="G694" s="578"/>
      <c r="H694" s="578"/>
      <c r="I694" s="578"/>
      <c r="J694" s="296">
        <f>SUM(J665:J693)</f>
        <v>54035.82526848781</v>
      </c>
    </row>
    <row r="695" spans="1:10" s="263" customFormat="1">
      <c r="B695" s="237" t="s">
        <v>34</v>
      </c>
      <c r="C695" s="238"/>
      <c r="D695" s="533"/>
      <c r="E695" s="239" t="s">
        <v>650</v>
      </c>
      <c r="F695" s="238"/>
      <c r="G695" s="312"/>
      <c r="H695" s="300"/>
      <c r="I695" s="285"/>
      <c r="J695" s="294"/>
    </row>
    <row r="696" spans="1:10" s="276" customFormat="1">
      <c r="A696" s="263"/>
      <c r="B696" s="381" t="s">
        <v>647</v>
      </c>
      <c r="C696" s="382" t="s">
        <v>708</v>
      </c>
      <c r="D696" s="383" t="str">
        <f>COMPOSIÇÕES!B115</f>
        <v>FDE - 07/2023</v>
      </c>
      <c r="E696" s="344" t="s">
        <v>651</v>
      </c>
      <c r="F696" s="382" t="s">
        <v>541</v>
      </c>
      <c r="G696" s="316">
        <v>100</v>
      </c>
      <c r="H696" s="290">
        <f>COMPOSIÇÕES!$G$116</f>
        <v>5.116260162601626</v>
      </c>
      <c r="I696" s="287">
        <f>COMPOSIÇÕES!$J$115</f>
        <v>6.1139308943089432</v>
      </c>
      <c r="J696" s="384">
        <f>G696*I696</f>
        <v>611.39308943089429</v>
      </c>
    </row>
    <row r="697" spans="1:10" s="263" customFormat="1">
      <c r="B697" s="577" t="s">
        <v>648</v>
      </c>
      <c r="C697" s="578"/>
      <c r="D697" s="578"/>
      <c r="E697" s="578"/>
      <c r="F697" s="578"/>
      <c r="G697" s="578"/>
      <c r="H697" s="578"/>
      <c r="I697" s="578"/>
      <c r="J697" s="296">
        <f>J696</f>
        <v>611.39308943089429</v>
      </c>
    </row>
    <row r="698" spans="1:10" s="261" customFormat="1" ht="25.5" customHeight="1" thickBot="1">
      <c r="B698" s="564" t="s">
        <v>649</v>
      </c>
      <c r="C698" s="565"/>
      <c r="D698" s="565"/>
      <c r="E698" s="565"/>
      <c r="F698" s="565"/>
      <c r="G698" s="565"/>
      <c r="H698" s="565"/>
      <c r="I698" s="566"/>
      <c r="J698" s="297">
        <f>J644+J663+J694+J697</f>
        <v>128800.36266500746</v>
      </c>
    </row>
    <row r="699" spans="1:10" s="147" customFormat="1">
      <c r="B699" s="264" t="s">
        <v>504</v>
      </c>
      <c r="C699" s="265"/>
      <c r="D699" s="534"/>
      <c r="E699" s="266" t="s">
        <v>655</v>
      </c>
      <c r="F699" s="265"/>
      <c r="G699" s="310"/>
      <c r="H699" s="298"/>
      <c r="I699" s="283"/>
      <c r="J699" s="292"/>
    </row>
    <row r="700" spans="1:10" s="147" customFormat="1" ht="6" customHeight="1">
      <c r="B700" s="234"/>
      <c r="C700" s="235"/>
      <c r="D700" s="532"/>
      <c r="E700" s="236"/>
      <c r="F700" s="235"/>
      <c r="G700" s="311"/>
      <c r="H700" s="299"/>
      <c r="I700" s="284"/>
      <c r="J700" s="293"/>
    </row>
    <row r="701" spans="1:10" s="261" customFormat="1">
      <c r="B701" s="237" t="s">
        <v>505</v>
      </c>
      <c r="C701" s="238"/>
      <c r="D701" s="533"/>
      <c r="E701" s="239" t="s">
        <v>483</v>
      </c>
      <c r="F701" s="238"/>
      <c r="G701" s="312"/>
      <c r="H701" s="300"/>
      <c r="I701" s="285"/>
      <c r="J701" s="294"/>
    </row>
    <row r="702" spans="1:10" s="150" customFormat="1">
      <c r="B702" s="381" t="s">
        <v>507</v>
      </c>
      <c r="C702" s="382" t="s">
        <v>699</v>
      </c>
      <c r="D702" s="317" t="str">
        <f t="shared" ref="D702:I703" si="90">D642</f>
        <v>FDE - 07/2023</v>
      </c>
      <c r="E702" s="481" t="str">
        <f t="shared" si="90"/>
        <v>FORNECIMENTO E INSTALAÇAO DE PLACAS DE OBRA</v>
      </c>
      <c r="F702" s="316" t="str">
        <f t="shared" si="90"/>
        <v>M²</v>
      </c>
      <c r="G702" s="316">
        <f t="shared" si="90"/>
        <v>5</v>
      </c>
      <c r="H702" s="290">
        <f t="shared" si="90"/>
        <v>407.8057</v>
      </c>
      <c r="I702" s="287">
        <f t="shared" si="90"/>
        <v>487.3278115</v>
      </c>
      <c r="J702" s="384">
        <f>G702*I702</f>
        <v>2436.6390575</v>
      </c>
    </row>
    <row r="703" spans="1:10" s="150" customFormat="1" ht="28.8">
      <c r="B703" s="381" t="s">
        <v>800</v>
      </c>
      <c r="C703" s="382">
        <v>37524</v>
      </c>
      <c r="D703" s="317" t="str">
        <f t="shared" si="90"/>
        <v>SINAPI SP - 08/2023</v>
      </c>
      <c r="E703" s="482" t="str">
        <f t="shared" si="90"/>
        <v>ISOLAMENTO DE OBRA COM TELA PLASTICA COM MALHA DE 5MM E ESTRUTURA DE MADEIRA PONTALETEADA</v>
      </c>
      <c r="F703" s="316" t="str">
        <f t="shared" si="90"/>
        <v>M²</v>
      </c>
      <c r="G703" s="316">
        <f t="shared" si="90"/>
        <v>40</v>
      </c>
      <c r="H703" s="290">
        <f t="shared" si="90"/>
        <v>2</v>
      </c>
      <c r="I703" s="287">
        <f t="shared" si="90"/>
        <v>2.39</v>
      </c>
      <c r="J703" s="384">
        <f>G703*I703</f>
        <v>95.600000000000009</v>
      </c>
    </row>
    <row r="704" spans="1:10" s="261" customFormat="1">
      <c r="B704" s="577" t="s">
        <v>653</v>
      </c>
      <c r="C704" s="578"/>
      <c r="D704" s="578"/>
      <c r="E704" s="578"/>
      <c r="F704" s="578"/>
      <c r="G704" s="578"/>
      <c r="H704" s="578"/>
      <c r="I704" s="578"/>
      <c r="J704" s="296">
        <f>SUM(J702:J703)</f>
        <v>2532.2390574999999</v>
      </c>
    </row>
    <row r="705" spans="1:10" s="147" customFormat="1">
      <c r="B705" s="237" t="s">
        <v>1684</v>
      </c>
      <c r="C705" s="238"/>
      <c r="D705" s="533"/>
      <c r="E705" s="239" t="s">
        <v>525</v>
      </c>
      <c r="F705" s="238"/>
      <c r="G705" s="312"/>
      <c r="H705" s="300"/>
      <c r="I705" s="285"/>
      <c r="J705" s="294"/>
    </row>
    <row r="706" spans="1:10" s="276" customFormat="1" ht="28.8">
      <c r="B706" s="381" t="s">
        <v>1683</v>
      </c>
      <c r="C706" s="382" t="s">
        <v>711</v>
      </c>
      <c r="D706" s="383" t="str">
        <f>COMPOSIÇÕES!B10</f>
        <v>SINAPI SP - 08/2023</v>
      </c>
      <c r="E706" s="487" t="s">
        <v>2404</v>
      </c>
      <c r="F706" s="382" t="s">
        <v>431</v>
      </c>
      <c r="G706" s="315">
        <v>20</v>
      </c>
      <c r="H706" s="290">
        <f>SUM(COMPOSIÇÕES!G11:G13)</f>
        <v>328.17395199999999</v>
      </c>
      <c r="I706" s="287">
        <f>COMPOSIÇÕES!J10</f>
        <v>392.16787263999993</v>
      </c>
      <c r="J706" s="384">
        <f t="shared" ref="J706" si="91">G706*I706</f>
        <v>7843.357452799999</v>
      </c>
    </row>
    <row r="707" spans="1:10" s="150" customFormat="1" ht="86.4">
      <c r="B707" s="381" t="s">
        <v>1685</v>
      </c>
      <c r="C707" s="382" t="s">
        <v>711</v>
      </c>
      <c r="D707" s="383" t="str">
        <f>COMPOSIÇÕES!B14</f>
        <v>SINAPI SP - 08/2023</v>
      </c>
      <c r="E707" s="344" t="s">
        <v>754</v>
      </c>
      <c r="F707" s="382" t="s">
        <v>412</v>
      </c>
      <c r="G707" s="317">
        <v>11</v>
      </c>
      <c r="H707" s="290">
        <f>SUM(COMPOSIÇÕES!G15:G18)</f>
        <v>37.264400000000002</v>
      </c>
      <c r="I707" s="287">
        <f>COMPOSIÇÕES!$J$14</f>
        <v>44.530958000000005</v>
      </c>
      <c r="J707" s="384">
        <f>G707*I707</f>
        <v>489.84053800000004</v>
      </c>
    </row>
    <row r="708" spans="1:10" s="150" customFormat="1" ht="86.4">
      <c r="B708" s="381" t="s">
        <v>1686</v>
      </c>
      <c r="C708" s="382" t="s">
        <v>711</v>
      </c>
      <c r="D708" s="383" t="str">
        <f>COMPOSIÇÕES!B19</f>
        <v>SINAPI SP - 08/2023</v>
      </c>
      <c r="E708" s="344" t="s">
        <v>755</v>
      </c>
      <c r="F708" s="382" t="s">
        <v>412</v>
      </c>
      <c r="G708" s="317">
        <v>25</v>
      </c>
      <c r="H708" s="290">
        <f>SUM(COMPOSIÇÕES!G20:G23)</f>
        <v>69.234999999999985</v>
      </c>
      <c r="I708" s="287">
        <f>COMPOSIÇÕES!$J$19</f>
        <v>82.735824999999991</v>
      </c>
      <c r="J708" s="384">
        <f t="shared" ref="J708:J720" si="92">G708*I708</f>
        <v>2068.3956249999997</v>
      </c>
    </row>
    <row r="709" spans="1:10" s="150" customFormat="1" ht="86.4">
      <c r="B709" s="381" t="s">
        <v>1687</v>
      </c>
      <c r="C709" s="382" t="s">
        <v>711</v>
      </c>
      <c r="D709" s="383" t="str">
        <f>COMPOSIÇÕES!B117</f>
        <v>SINAPI SP - 08/2023</v>
      </c>
      <c r="E709" s="344" t="s">
        <v>804</v>
      </c>
      <c r="F709" s="382" t="s">
        <v>412</v>
      </c>
      <c r="G709" s="317">
        <v>3</v>
      </c>
      <c r="H709" s="290">
        <f>SUM(COMPOSIÇÕES!G118:G121)</f>
        <v>94.308000000000007</v>
      </c>
      <c r="I709" s="287">
        <f>COMPOSIÇÕES!$J$117</f>
        <v>112.69806</v>
      </c>
      <c r="J709" s="384">
        <f t="shared" si="92"/>
        <v>338.09417999999999</v>
      </c>
    </row>
    <row r="710" spans="1:10" s="150" customFormat="1" ht="86.4">
      <c r="B710" s="381" t="s">
        <v>1688</v>
      </c>
      <c r="C710" s="382" t="s">
        <v>711</v>
      </c>
      <c r="D710" s="383" t="str">
        <f>COMPOSIÇÕES!B24</f>
        <v>SINAPI SP - 08/2023</v>
      </c>
      <c r="E710" s="344" t="s">
        <v>747</v>
      </c>
      <c r="F710" s="382" t="s">
        <v>412</v>
      </c>
      <c r="G710" s="317">
        <v>94</v>
      </c>
      <c r="H710" s="290">
        <f>SUM(COMPOSIÇÕES!G25:G28)</f>
        <v>53.322000000000003</v>
      </c>
      <c r="I710" s="287">
        <f>COMPOSIÇÕES!$J$24</f>
        <v>63.719789999999996</v>
      </c>
      <c r="J710" s="384">
        <f t="shared" si="92"/>
        <v>5989.6602599999997</v>
      </c>
    </row>
    <row r="711" spans="1:10" s="393" customFormat="1" ht="86.4">
      <c r="A711" s="150"/>
      <c r="B711" s="381" t="s">
        <v>1689</v>
      </c>
      <c r="C711" s="394" t="s">
        <v>711</v>
      </c>
      <c r="D711" s="389" t="str">
        <f>COMPOSIÇÕES!B29</f>
        <v xml:space="preserve">SINAPI SP - 08/2023 </v>
      </c>
      <c r="E711" s="395" t="s">
        <v>748</v>
      </c>
      <c r="F711" s="394" t="s">
        <v>412</v>
      </c>
      <c r="G711" s="315">
        <v>83</v>
      </c>
      <c r="H711" s="392">
        <f>SUM(COMPOSIÇÕES!G30:G33)</f>
        <v>85.438000000000002</v>
      </c>
      <c r="I711" s="396">
        <f>COMPOSIÇÕES!$J$29</f>
        <v>102.09840999999999</v>
      </c>
      <c r="J711" s="397">
        <f t="shared" si="92"/>
        <v>8474.1680299999989</v>
      </c>
    </row>
    <row r="712" spans="1:10" s="393" customFormat="1" ht="28.8">
      <c r="A712" s="150"/>
      <c r="B712" s="381" t="s">
        <v>1690</v>
      </c>
      <c r="C712" s="394" t="str">
        <f t="shared" ref="C712:I712" si="93">C651</f>
        <v>22.02.030</v>
      </c>
      <c r="D712" s="389" t="str">
        <f t="shared" si="93"/>
        <v>CDHU - BOLETIM 191</v>
      </c>
      <c r="E712" s="395" t="str">
        <f t="shared" si="93"/>
        <v>Forro em painéis de gesso acartonado, espessura de 12,5mm, fixo</v>
      </c>
      <c r="F712" s="394" t="str">
        <f t="shared" si="93"/>
        <v>M²</v>
      </c>
      <c r="G712" s="315">
        <f>7.5*0.55*2*11</f>
        <v>90.75</v>
      </c>
      <c r="H712" s="392">
        <f t="shared" si="93"/>
        <v>99.47</v>
      </c>
      <c r="I712" s="396">
        <f t="shared" si="93"/>
        <v>118.86664999999999</v>
      </c>
      <c r="J712" s="397">
        <f t="shared" si="92"/>
        <v>10787.148487499999</v>
      </c>
    </row>
    <row r="713" spans="1:10" s="150" customFormat="1" ht="57.6">
      <c r="B713" s="381" t="s">
        <v>1691</v>
      </c>
      <c r="C713" s="382" t="s">
        <v>711</v>
      </c>
      <c r="D713" s="383" t="str">
        <f>COMPOSIÇÕES!B36</f>
        <v xml:space="preserve">SINAPI SP - 08/2023 </v>
      </c>
      <c r="E713" s="398" t="s">
        <v>756</v>
      </c>
      <c r="F713" s="382" t="s">
        <v>413</v>
      </c>
      <c r="G713" s="315">
        <v>430</v>
      </c>
      <c r="H713" s="287">
        <f>SUM(COMPOSIÇÕES!G37:G39)</f>
        <v>84.94</v>
      </c>
      <c r="I713" s="287">
        <f>COMPOSIÇÕES!$J$36</f>
        <v>101.5033</v>
      </c>
      <c r="J713" s="384">
        <f t="shared" si="92"/>
        <v>43646.419000000002</v>
      </c>
    </row>
    <row r="714" spans="1:10" s="335" customFormat="1" ht="28.8">
      <c r="A714" s="150"/>
      <c r="B714" s="381" t="s">
        <v>1692</v>
      </c>
      <c r="C714" s="383" t="str">
        <f>COMPOSIÇÕES!A44</f>
        <v>61.10.565</v>
      </c>
      <c r="D714" s="383" t="str">
        <f>COMPOSIÇÕES!B44</f>
        <v>CDHU - BOLETIM 191</v>
      </c>
      <c r="E714" s="388" t="s">
        <v>1042</v>
      </c>
      <c r="F714" s="382" t="s">
        <v>431</v>
      </c>
      <c r="G714" s="315">
        <v>7</v>
      </c>
      <c r="H714" s="287">
        <f>COMPOSIÇÕES!G45</f>
        <v>248.91654375000002</v>
      </c>
      <c r="I714" s="287">
        <f>COMPOSIÇÕES!$J$44</f>
        <v>297.45526978125002</v>
      </c>
      <c r="J714" s="384">
        <f t="shared" si="92"/>
        <v>2082.1868884687501</v>
      </c>
    </row>
    <row r="715" spans="1:10" s="335" customFormat="1" ht="28.8">
      <c r="A715" s="150"/>
      <c r="B715" s="381" t="s">
        <v>1693</v>
      </c>
      <c r="C715" s="383" t="str">
        <f>COMPOSIÇÕES!A46</f>
        <v>61.10.564</v>
      </c>
      <c r="D715" s="383" t="str">
        <f>COMPOSIÇÕES!B46</f>
        <v>CDHU - BOLETIM 191</v>
      </c>
      <c r="E715" s="388" t="s">
        <v>1043</v>
      </c>
      <c r="F715" s="382" t="s">
        <v>431</v>
      </c>
      <c r="G715" s="315">
        <v>2</v>
      </c>
      <c r="H715" s="287">
        <f>COMPOSIÇÕES!G47</f>
        <v>49.947131250000005</v>
      </c>
      <c r="I715" s="287">
        <f>COMPOSIÇÕES!$J$46</f>
        <v>59.68682184375001</v>
      </c>
      <c r="J715" s="384">
        <f t="shared" si="92"/>
        <v>119.37364368750002</v>
      </c>
    </row>
    <row r="716" spans="1:10" s="335" customFormat="1" ht="28.8">
      <c r="A716" s="150"/>
      <c r="B716" s="381" t="s">
        <v>1694</v>
      </c>
      <c r="C716" s="383" t="str">
        <f>COMPOSIÇÕES!A47</f>
        <v>61.10.564</v>
      </c>
      <c r="D716" s="383" t="str">
        <f>COMPOSIÇÕES!B47</f>
        <v>CDHU - BOLETIM 191</v>
      </c>
      <c r="E716" s="388" t="s">
        <v>1044</v>
      </c>
      <c r="F716" s="382" t="s">
        <v>431</v>
      </c>
      <c r="G716" s="315">
        <v>2</v>
      </c>
      <c r="H716" s="287">
        <f>COMPOSIÇÕES!G49</f>
        <v>82.875240000000005</v>
      </c>
      <c r="I716" s="287">
        <f>COMPOSIÇÕES!$J$48</f>
        <v>99.035911800000008</v>
      </c>
      <c r="J716" s="384">
        <f t="shared" si="92"/>
        <v>198.07182360000002</v>
      </c>
    </row>
    <row r="717" spans="1:10" s="150" customFormat="1" ht="28.8">
      <c r="B717" s="381" t="s">
        <v>1695</v>
      </c>
      <c r="C717" s="383" t="str">
        <f>COMPOSIÇÕES!A48</f>
        <v>61.10.564</v>
      </c>
      <c r="D717" s="383" t="str">
        <f>COMPOSIÇÕES!B48</f>
        <v>CDHU - BOLETIM 191</v>
      </c>
      <c r="E717" s="388" t="s">
        <v>809</v>
      </c>
      <c r="F717" s="382" t="s">
        <v>431</v>
      </c>
      <c r="G717" s="317">
        <v>2</v>
      </c>
      <c r="H717" s="287">
        <f>SUM(COMPOSIÇÕES!$G$123:$G$123)</f>
        <v>33.890000000000008</v>
      </c>
      <c r="I717" s="287">
        <f>COMPOSIÇÕES!$J$122</f>
        <v>40.498550000000009</v>
      </c>
      <c r="J717" s="384">
        <f t="shared" si="92"/>
        <v>80.997100000000017</v>
      </c>
    </row>
    <row r="718" spans="1:10" s="150" customFormat="1" ht="28.8">
      <c r="B718" s="381" t="s">
        <v>1696</v>
      </c>
      <c r="C718" s="383" t="str">
        <f>COMPOSIÇÕES!A49</f>
        <v>61.10.564</v>
      </c>
      <c r="D718" s="383" t="str">
        <f>COMPOSIÇÕES!B49</f>
        <v>CDHU - BOLETIM 191</v>
      </c>
      <c r="E718" s="388" t="s">
        <v>1119</v>
      </c>
      <c r="F718" s="382" t="s">
        <v>431</v>
      </c>
      <c r="G718" s="317">
        <v>7</v>
      </c>
      <c r="H718" s="287">
        <f>SUM(COMPOSIÇÕES!$G$125:$G$125)</f>
        <v>203.34</v>
      </c>
      <c r="I718" s="287">
        <f>COMPOSIÇÕES!$J$124</f>
        <v>242.9913</v>
      </c>
      <c r="J718" s="384">
        <f t="shared" si="92"/>
        <v>1700.9391000000001</v>
      </c>
    </row>
    <row r="719" spans="1:10" s="150" customFormat="1" ht="28.8">
      <c r="B719" s="381" t="s">
        <v>1697</v>
      </c>
      <c r="C719" s="383" t="str">
        <f>COMPOSIÇÕES!A52</f>
        <v>61.10.581</v>
      </c>
      <c r="D719" s="383" t="str">
        <f>COMPOSIÇÕES!B52</f>
        <v>CDHU - BOLETIM 191</v>
      </c>
      <c r="E719" s="388" t="s">
        <v>1117</v>
      </c>
      <c r="F719" s="382" t="s">
        <v>431</v>
      </c>
      <c r="G719" s="315">
        <v>2</v>
      </c>
      <c r="H719" s="287">
        <f>COMPOSIÇÕES!G57</f>
        <v>16.945000000000004</v>
      </c>
      <c r="I719" s="287">
        <f>COMPOSIÇÕES!$J$56</f>
        <v>20.249275000000004</v>
      </c>
      <c r="J719" s="384">
        <f t="shared" si="92"/>
        <v>40.498550000000009</v>
      </c>
    </row>
    <row r="720" spans="1:10" s="150" customFormat="1" ht="28.8">
      <c r="A720" s="271"/>
      <c r="B720" s="381" t="s">
        <v>1698</v>
      </c>
      <c r="C720" s="382" t="s">
        <v>711</v>
      </c>
      <c r="D720" s="383" t="str">
        <f>COMPOSIÇÕES!B58</f>
        <v xml:space="preserve">SINAPI SP - 08/2023 </v>
      </c>
      <c r="E720" s="388" t="s">
        <v>758</v>
      </c>
      <c r="F720" s="382" t="s">
        <v>412</v>
      </c>
      <c r="G720" s="315">
        <v>162</v>
      </c>
      <c r="H720" s="287">
        <f>SUM(COMPOSIÇÕES!G59:G61)</f>
        <v>31.499000000000002</v>
      </c>
      <c r="I720" s="287">
        <f>COMPOSIÇÕES!$J$58</f>
        <v>37.641304999999996</v>
      </c>
      <c r="J720" s="384">
        <f t="shared" si="92"/>
        <v>6097.8914099999993</v>
      </c>
    </row>
    <row r="721" spans="1:10" s="150" customFormat="1" ht="28.8">
      <c r="A721" s="271"/>
      <c r="B721" s="381" t="s">
        <v>1699</v>
      </c>
      <c r="C721" s="382" t="s">
        <v>711</v>
      </c>
      <c r="D721" s="383" t="str">
        <f>COMPOSIÇÕES!B64</f>
        <v>SINAPI SP - 08/2023</v>
      </c>
      <c r="E721" s="388" t="s">
        <v>697</v>
      </c>
      <c r="F721" s="382" t="s">
        <v>431</v>
      </c>
      <c r="G721" s="315">
        <v>20</v>
      </c>
      <c r="H721" s="287">
        <f>SUM(COMPOSIÇÕES!$G$65:$G$67)</f>
        <v>92.32</v>
      </c>
      <c r="I721" s="287">
        <f>COMPOSIÇÕES!$J$64</f>
        <v>110.32240000000002</v>
      </c>
      <c r="J721" s="384">
        <f t="shared" ref="J721:J725" si="94">I721*G721</f>
        <v>2206.4480000000003</v>
      </c>
    </row>
    <row r="722" spans="1:10" s="150" customFormat="1" ht="28.8">
      <c r="A722" s="271"/>
      <c r="B722" s="381" t="s">
        <v>1700</v>
      </c>
      <c r="C722" s="382" t="s">
        <v>711</v>
      </c>
      <c r="D722" s="383" t="str">
        <f>COMPOSIÇÕES!B68</f>
        <v xml:space="preserve">SINAPI SP - 08/2023 </v>
      </c>
      <c r="E722" s="388" t="s">
        <v>762</v>
      </c>
      <c r="F722" s="382" t="s">
        <v>415</v>
      </c>
      <c r="G722" s="315">
        <v>1</v>
      </c>
      <c r="H722" s="287">
        <f>SUM(COMPOSIÇÕES!$G$69:$G$70)</f>
        <v>58.91</v>
      </c>
      <c r="I722" s="287">
        <f>COMPOSIÇÕES!$J$68</f>
        <v>70.397449999999992</v>
      </c>
      <c r="J722" s="384">
        <f t="shared" si="94"/>
        <v>70.397449999999992</v>
      </c>
    </row>
    <row r="723" spans="1:10" s="150" customFormat="1" ht="28.8">
      <c r="A723" s="271"/>
      <c r="B723" s="381" t="s">
        <v>1701</v>
      </c>
      <c r="C723" s="399" t="s">
        <v>763</v>
      </c>
      <c r="D723" s="273" t="str">
        <f>COMPOSIÇÕES!B71</f>
        <v xml:space="preserve">SINAPI SP - 08/2023 </v>
      </c>
      <c r="E723" s="400" t="s">
        <v>761</v>
      </c>
      <c r="F723" s="273" t="s">
        <v>541</v>
      </c>
      <c r="G723" s="316">
        <v>2</v>
      </c>
      <c r="H723" s="287">
        <f>SUM(COMPOSIÇÕES!$G$72:$G$72)</f>
        <v>28.8</v>
      </c>
      <c r="I723" s="287">
        <f>COMPOSIÇÕES!$J$71</f>
        <v>34.416000000000004</v>
      </c>
      <c r="J723" s="384">
        <f t="shared" si="94"/>
        <v>68.832000000000008</v>
      </c>
    </row>
    <row r="724" spans="1:10" s="150" customFormat="1">
      <c r="A724" s="271"/>
      <c r="B724" s="381" t="s">
        <v>2414</v>
      </c>
      <c r="C724" s="399" t="s">
        <v>759</v>
      </c>
      <c r="D724" s="273" t="str">
        <f>COMPOSIÇÕES!B73</f>
        <v>FDE - 07/2023</v>
      </c>
      <c r="E724" s="400" t="s">
        <v>760</v>
      </c>
      <c r="F724" s="273" t="s">
        <v>701</v>
      </c>
      <c r="G724" s="316">
        <v>1</v>
      </c>
      <c r="H724" s="530">
        <f>VLOOKUP(C724,COMPOSIÇÕES!A:J,6,FALSE)</f>
        <v>38.485355648535567</v>
      </c>
      <c r="I724" s="287">
        <f>COMPOSIÇÕES!$J$73</f>
        <v>45.99</v>
      </c>
      <c r="J724" s="384">
        <f t="shared" si="94"/>
        <v>45.99</v>
      </c>
    </row>
    <row r="725" spans="1:10" s="150" customFormat="1">
      <c r="A725" s="271"/>
      <c r="B725" s="381" t="s">
        <v>2446</v>
      </c>
      <c r="C725" s="399" t="s">
        <v>764</v>
      </c>
      <c r="D725" s="273" t="str">
        <f>COMPOSIÇÕES!B74</f>
        <v>FDE - 07/2023</v>
      </c>
      <c r="E725" s="400" t="s">
        <v>765</v>
      </c>
      <c r="F725" s="273" t="s">
        <v>541</v>
      </c>
      <c r="G725" s="316">
        <v>3</v>
      </c>
      <c r="H725" s="530">
        <f>VLOOKUP(C725,COMPOSIÇÕES!A:J,6,FALSE)</f>
        <v>210.81171548117152</v>
      </c>
      <c r="I725" s="287">
        <f>COMPOSIÇÕES!$J$74</f>
        <v>251.91999999999996</v>
      </c>
      <c r="J725" s="384">
        <f t="shared" si="94"/>
        <v>755.75999999999988</v>
      </c>
    </row>
    <row r="726" spans="1:10" s="147" customFormat="1">
      <c r="B726" s="577" t="s">
        <v>1734</v>
      </c>
      <c r="C726" s="578"/>
      <c r="D726" s="578"/>
      <c r="E726" s="578"/>
      <c r="F726" s="578"/>
      <c r="G726" s="578"/>
      <c r="H726" s="578"/>
      <c r="I726" s="578"/>
      <c r="J726" s="296">
        <f>SUM(J706:J725)</f>
        <v>93104.469539056226</v>
      </c>
    </row>
    <row r="727" spans="1:10" s="263" customFormat="1">
      <c r="B727" s="237" t="s">
        <v>1702</v>
      </c>
      <c r="C727" s="238"/>
      <c r="D727" s="533"/>
      <c r="E727" s="239" t="s">
        <v>526</v>
      </c>
      <c r="F727" s="238"/>
      <c r="G727" s="312"/>
      <c r="H727" s="300"/>
      <c r="I727" s="285"/>
      <c r="J727" s="294"/>
    </row>
    <row r="728" spans="1:10" s="276" customFormat="1">
      <c r="A728" s="263"/>
      <c r="B728" s="381" t="s">
        <v>1703</v>
      </c>
      <c r="C728" s="382" t="s">
        <v>711</v>
      </c>
      <c r="D728" s="383" t="str">
        <f>COMPOSIÇÕES!B75</f>
        <v>FDE - 07/2023</v>
      </c>
      <c r="E728" s="344" t="s">
        <v>745</v>
      </c>
      <c r="F728" s="382" t="s">
        <v>431</v>
      </c>
      <c r="G728" s="316">
        <v>85</v>
      </c>
      <c r="H728" s="290">
        <f>SUM(COMPOSIÇÕES!G76:G78)</f>
        <v>34.013252032520327</v>
      </c>
      <c r="I728" s="287">
        <f>COMPOSIÇÕES!$J$75</f>
        <v>40.645836178861792</v>
      </c>
      <c r="J728" s="384">
        <f t="shared" ref="J728:J742" si="95">G728*I728</f>
        <v>3454.8960752032522</v>
      </c>
    </row>
    <row r="729" spans="1:10" s="276" customFormat="1" ht="43.2">
      <c r="A729" s="263"/>
      <c r="B729" s="381" t="s">
        <v>1704</v>
      </c>
      <c r="C729" s="382" t="s">
        <v>711</v>
      </c>
      <c r="D729" s="383" t="str">
        <f>COMPOSIÇÕES!B79</f>
        <v>FDE - 07/2023 + SINAPI SP - 08/2023</v>
      </c>
      <c r="E729" s="344" t="s">
        <v>742</v>
      </c>
      <c r="F729" s="382" t="s">
        <v>431</v>
      </c>
      <c r="G729" s="316">
        <v>6</v>
      </c>
      <c r="H729" s="290">
        <f>SUM(COMPOSIÇÕES!G80:G82)</f>
        <v>6.9960000000000004</v>
      </c>
      <c r="I729" s="287">
        <f>COMPOSIÇÕES!$J$79</f>
        <v>8.36022</v>
      </c>
      <c r="J729" s="384">
        <f t="shared" si="95"/>
        <v>50.161320000000003</v>
      </c>
    </row>
    <row r="730" spans="1:10" s="276" customFormat="1" ht="43.2">
      <c r="A730" s="263"/>
      <c r="B730" s="381" t="s">
        <v>1705</v>
      </c>
      <c r="C730" s="382" t="s">
        <v>711</v>
      </c>
      <c r="D730" s="383" t="str">
        <f>COMPOSIÇÕES!B128</f>
        <v>FDE - 07/2023 + SINAPI SP - 08/2023</v>
      </c>
      <c r="E730" s="344" t="s">
        <v>812</v>
      </c>
      <c r="F730" s="382" t="s">
        <v>431</v>
      </c>
      <c r="G730" s="316">
        <v>6</v>
      </c>
      <c r="H730" s="290">
        <f>SUM(COMPOSIÇÕES!G129:G131)</f>
        <v>23.056000000000001</v>
      </c>
      <c r="I730" s="287">
        <f>COMPOSIÇÕES!$J$128</f>
        <v>27.551920000000003</v>
      </c>
      <c r="J730" s="384">
        <f t="shared" si="95"/>
        <v>165.31152000000003</v>
      </c>
    </row>
    <row r="731" spans="1:10" s="276" customFormat="1">
      <c r="A731" s="263"/>
      <c r="B731" s="381" t="s">
        <v>1706</v>
      </c>
      <c r="C731" s="382" t="s">
        <v>739</v>
      </c>
      <c r="D731" s="383" t="str">
        <f>COMPOSIÇÕES!B83</f>
        <v>FDE - 07/2023</v>
      </c>
      <c r="E731" s="344" t="s">
        <v>766</v>
      </c>
      <c r="F731" s="382" t="s">
        <v>431</v>
      </c>
      <c r="G731" s="316">
        <v>30</v>
      </c>
      <c r="H731" s="530">
        <f>VLOOKUP(C731,COMPOSIÇÕES!A:J,6,FALSE)</f>
        <v>32.35146443514644</v>
      </c>
      <c r="I731" s="287">
        <f>COMPOSIÇÕES!$J$83</f>
        <v>38.659999999999997</v>
      </c>
      <c r="J731" s="384">
        <f t="shared" si="95"/>
        <v>1159.8</v>
      </c>
    </row>
    <row r="732" spans="1:10" s="276" customFormat="1">
      <c r="A732" s="263"/>
      <c r="B732" s="381" t="s">
        <v>1707</v>
      </c>
      <c r="C732" s="382" t="s">
        <v>739</v>
      </c>
      <c r="D732" s="383" t="str">
        <f t="shared" ref="D732:D733" si="96">$D$731</f>
        <v>FDE - 07/2023</v>
      </c>
      <c r="E732" s="344" t="s">
        <v>767</v>
      </c>
      <c r="F732" s="382" t="s">
        <v>431</v>
      </c>
      <c r="G732" s="316">
        <v>10</v>
      </c>
      <c r="H732" s="530">
        <f>VLOOKUP(C732,COMPOSIÇÕES!A:J,6,FALSE)</f>
        <v>32.35146443514644</v>
      </c>
      <c r="I732" s="287">
        <f>COMPOSIÇÕES!$J$83</f>
        <v>38.659999999999997</v>
      </c>
      <c r="J732" s="384">
        <f t="shared" si="95"/>
        <v>386.59999999999997</v>
      </c>
    </row>
    <row r="733" spans="1:10" s="276" customFormat="1">
      <c r="A733" s="263"/>
      <c r="B733" s="381" t="s">
        <v>1708</v>
      </c>
      <c r="C733" s="382" t="s">
        <v>739</v>
      </c>
      <c r="D733" s="383" t="str">
        <f t="shared" si="96"/>
        <v>FDE - 07/2023</v>
      </c>
      <c r="E733" s="344" t="s">
        <v>768</v>
      </c>
      <c r="F733" s="382" t="s">
        <v>431</v>
      </c>
      <c r="G733" s="316">
        <v>15</v>
      </c>
      <c r="H733" s="530">
        <f>VLOOKUP(C733,COMPOSIÇÕES!A:J,6,FALSE)</f>
        <v>32.35146443514644</v>
      </c>
      <c r="I733" s="287">
        <f>COMPOSIÇÕES!$J$83</f>
        <v>38.659999999999997</v>
      </c>
      <c r="J733" s="384">
        <f t="shared" si="95"/>
        <v>579.9</v>
      </c>
    </row>
    <row r="734" spans="1:10" s="276" customFormat="1">
      <c r="A734" s="263"/>
      <c r="B734" s="381" t="s">
        <v>1709</v>
      </c>
      <c r="C734" s="382" t="s">
        <v>738</v>
      </c>
      <c r="D734" s="383" t="s">
        <v>2474</v>
      </c>
      <c r="E734" s="344" t="s">
        <v>769</v>
      </c>
      <c r="F734" s="382" t="s">
        <v>431</v>
      </c>
      <c r="G734" s="316">
        <v>2</v>
      </c>
      <c r="H734" s="530">
        <f>VLOOKUP(C734,COMPOSIÇÕES!A:J,6,FALSE)</f>
        <v>37.087866108786606</v>
      </c>
      <c r="I734" s="287">
        <f>COMPOSIÇÕES!$J$84</f>
        <v>44.319999999999993</v>
      </c>
      <c r="J734" s="384">
        <f t="shared" si="95"/>
        <v>88.639999999999986</v>
      </c>
    </row>
    <row r="735" spans="1:10" s="276" customFormat="1">
      <c r="A735" s="263"/>
      <c r="B735" s="381" t="s">
        <v>1710</v>
      </c>
      <c r="C735" s="382" t="s">
        <v>819</v>
      </c>
      <c r="D735" s="383" t="s">
        <v>2474</v>
      </c>
      <c r="E735" s="344" t="s">
        <v>820</v>
      </c>
      <c r="F735" s="382" t="s">
        <v>431</v>
      </c>
      <c r="G735" s="316">
        <v>3</v>
      </c>
      <c r="H735" s="530">
        <f>COMPOSIÇÕES!F140</f>
        <v>68.63</v>
      </c>
      <c r="I735" s="287">
        <f>COMPOSIÇÕES!$J$140</f>
        <v>82.01285</v>
      </c>
      <c r="J735" s="384">
        <f t="shared" si="95"/>
        <v>246.03854999999999</v>
      </c>
    </row>
    <row r="736" spans="1:10" s="276" customFormat="1" ht="43.2">
      <c r="A736" s="263"/>
      <c r="B736" s="381" t="s">
        <v>1711</v>
      </c>
      <c r="C736" s="382" t="s">
        <v>711</v>
      </c>
      <c r="D736" s="383" t="str">
        <f>COMPOSIÇÕES!B233</f>
        <v>SINAPI SP - 08/2023</v>
      </c>
      <c r="E736" s="344" t="s">
        <v>831</v>
      </c>
      <c r="F736" s="382" t="s">
        <v>431</v>
      </c>
      <c r="G736" s="316">
        <v>2</v>
      </c>
      <c r="H736" s="290">
        <f>COMPOSIÇÕES!G234+COMPOSIÇÕES!G235+COMPOSIÇÕES!G236</f>
        <v>42.53</v>
      </c>
      <c r="I736" s="287">
        <f>COMPOSIÇÕES!$J$233</f>
        <v>50.823350000000005</v>
      </c>
      <c r="J736" s="384">
        <f t="shared" si="95"/>
        <v>101.64670000000001</v>
      </c>
    </row>
    <row r="737" spans="1:10" s="276" customFormat="1">
      <c r="A737" s="263"/>
      <c r="B737" s="381" t="s">
        <v>1712</v>
      </c>
      <c r="C737" s="382" t="s">
        <v>735</v>
      </c>
      <c r="D737" s="383" t="str">
        <f>COMPOSIÇÕES!B89</f>
        <v>FDE - 07/2023</v>
      </c>
      <c r="E737" s="344" t="s">
        <v>736</v>
      </c>
      <c r="F737" s="382" t="s">
        <v>431</v>
      </c>
      <c r="G737" s="316">
        <v>150</v>
      </c>
      <c r="H737" s="530">
        <f>VLOOKUP(C737,COMPOSIÇÕES!A:J,6,FALSE)</f>
        <v>7.8158995815899575</v>
      </c>
      <c r="I737" s="287">
        <f>COMPOSIÇÕES!$J$89</f>
        <v>9.34</v>
      </c>
      <c r="J737" s="384">
        <f t="shared" si="95"/>
        <v>1401</v>
      </c>
    </row>
    <row r="738" spans="1:10" s="276" customFormat="1" ht="28.8">
      <c r="A738" s="263"/>
      <c r="B738" s="381" t="s">
        <v>1713</v>
      </c>
      <c r="C738" s="382" t="str">
        <f>COMPOSIÇÕES!A91</f>
        <v>38.21.920</v>
      </c>
      <c r="D738" s="383" t="str">
        <f>COMPOSIÇÕES!B91</f>
        <v>CDHU - BOLETIM 191</v>
      </c>
      <c r="E738" s="388" t="str">
        <f>COMPOSIÇÕES!C91</f>
        <v>Eletrocalha perfurada galvanizada a fogo, 100 x 50 mm, com acessórios</v>
      </c>
      <c r="F738" s="382" t="s">
        <v>412</v>
      </c>
      <c r="G738" s="316">
        <f>33*3</f>
        <v>99</v>
      </c>
      <c r="H738" s="530">
        <f>VLOOKUP(C738,COMPOSIÇÕES!A:J,6,FALSE)</f>
        <v>98.38</v>
      </c>
      <c r="I738" s="287">
        <f>COMPOSIÇÕES!$J$91</f>
        <v>117.5641</v>
      </c>
      <c r="J738" s="384">
        <f t="shared" si="95"/>
        <v>11638.8459</v>
      </c>
    </row>
    <row r="739" spans="1:10" s="276" customFormat="1" ht="28.8">
      <c r="A739" s="263"/>
      <c r="B739" s="381" t="s">
        <v>1714</v>
      </c>
      <c r="C739" s="382" t="str">
        <f>COMPOSIÇÕES!A92</f>
        <v>38.06.040</v>
      </c>
      <c r="D739" s="383" t="str">
        <f>COMPOSIÇÕES!B92</f>
        <v>CDHU - BOLETIM 191</v>
      </c>
      <c r="E739" s="388" t="str">
        <f>COMPOSIÇÕES!C92</f>
        <v>Eletroduto galvanizado a quente conforme NBR5598 ‐ 3/4´ com acessórios</v>
      </c>
      <c r="F739" s="382" t="s">
        <v>412</v>
      </c>
      <c r="G739" s="316">
        <f>32*3</f>
        <v>96</v>
      </c>
      <c r="H739" s="530">
        <f>VLOOKUP(C739,COMPOSIÇÕES!A:J,6,FALSE)</f>
        <v>60.65</v>
      </c>
      <c r="I739" s="287">
        <f>COMPOSIÇÕES!$J$92</f>
        <v>72.476749999999996</v>
      </c>
      <c r="J739" s="384">
        <f t="shared" si="95"/>
        <v>6957.768</v>
      </c>
    </row>
    <row r="740" spans="1:10" s="276" customFormat="1" ht="28.8">
      <c r="A740" s="263"/>
      <c r="B740" s="381" t="s">
        <v>1715</v>
      </c>
      <c r="C740" s="382" t="str">
        <f>COMPOSIÇÕES!A93</f>
        <v>38.06.060</v>
      </c>
      <c r="D740" s="383" t="str">
        <f>COMPOSIÇÕES!B93</f>
        <v>CDHU - BOLETIM 191</v>
      </c>
      <c r="E740" s="388" t="str">
        <f>COMPOSIÇÕES!C93</f>
        <v>Eletroduto galvanizado a quente conforme NBR5598 ‐ 1´ com acessórios</v>
      </c>
      <c r="F740" s="382" t="s">
        <v>412</v>
      </c>
      <c r="G740" s="316">
        <f>2*3</f>
        <v>6</v>
      </c>
      <c r="H740" s="530">
        <f>VLOOKUP(C740,COMPOSIÇÕES!A:J,6,FALSE)</f>
        <v>75.38</v>
      </c>
      <c r="I740" s="287">
        <f>COMPOSIÇÕES!$J$93</f>
        <v>90.079099999999997</v>
      </c>
      <c r="J740" s="384">
        <f t="shared" si="95"/>
        <v>540.47460000000001</v>
      </c>
    </row>
    <row r="741" spans="1:10" s="276" customFormat="1" ht="28.8">
      <c r="A741" s="263"/>
      <c r="B741" s="381" t="s">
        <v>1716</v>
      </c>
      <c r="C741" s="382" t="str">
        <f>COMPOSIÇÕES!A142</f>
        <v>38.06.100</v>
      </c>
      <c r="D741" s="383" t="str">
        <f>COMPOSIÇÕES!B142</f>
        <v>CDHU - BOLETIM 191</v>
      </c>
      <c r="E741" s="388" t="str">
        <f>COMPOSIÇÕES!C142</f>
        <v>Eletroduto galvanizado a quente conforme NBR5598 ‐ 1 1/2´ com
acessórios</v>
      </c>
      <c r="F741" s="382" t="s">
        <v>412</v>
      </c>
      <c r="G741" s="316">
        <f>7*3</f>
        <v>21</v>
      </c>
      <c r="H741" s="530">
        <f>VLOOKUP(C741,COMPOSIÇÕES!A:J,6,FALSE)</f>
        <v>111.35</v>
      </c>
      <c r="I741" s="287">
        <f>COMPOSIÇÕES!$J$142</f>
        <v>133.06324999999998</v>
      </c>
      <c r="J741" s="384">
        <f t="shared" si="95"/>
        <v>2794.3282499999996</v>
      </c>
    </row>
    <row r="742" spans="1:10" s="276" customFormat="1" ht="28.8">
      <c r="A742" s="263"/>
      <c r="B742" s="381" t="s">
        <v>1717</v>
      </c>
      <c r="C742" s="382" t="str">
        <f>COMPOSIÇÕES!A191</f>
        <v>38.06.120</v>
      </c>
      <c r="D742" s="383" t="str">
        <f>COMPOSIÇÕES!B191</f>
        <v>CDHU - BOLETIM 191</v>
      </c>
      <c r="E742" s="388" t="str">
        <f>COMPOSIÇÕES!C191</f>
        <v>Eletroduto galvanizado a quente conforme NBR5598 ‐ 2´ com acessórios</v>
      </c>
      <c r="F742" s="382" t="s">
        <v>412</v>
      </c>
      <c r="G742" s="316">
        <f>3*3</f>
        <v>9</v>
      </c>
      <c r="H742" s="530">
        <f>VLOOKUP(C742,COMPOSIÇÕES!A:J,6,FALSE)</f>
        <v>128.12</v>
      </c>
      <c r="I742" s="287">
        <f>COMPOSIÇÕES!$J$191</f>
        <v>153.10340000000002</v>
      </c>
      <c r="J742" s="384">
        <f t="shared" si="95"/>
        <v>1377.9306000000001</v>
      </c>
    </row>
    <row r="743" spans="1:10" s="276" customFormat="1">
      <c r="A743" s="263"/>
      <c r="B743" s="381" t="s">
        <v>1718</v>
      </c>
      <c r="C743" s="382" t="s">
        <v>729</v>
      </c>
      <c r="D743" s="383" t="str">
        <f>COMPOSIÇÕES!B95</f>
        <v>FDE - 07/2023</v>
      </c>
      <c r="E743" s="344" t="s">
        <v>730</v>
      </c>
      <c r="F743" s="382" t="s">
        <v>412</v>
      </c>
      <c r="G743" s="316">
        <v>1</v>
      </c>
      <c r="H743" s="530">
        <f>VLOOKUP(C743,COMPOSIÇÕES!A:J,6,FALSE)</f>
        <v>50.77</v>
      </c>
      <c r="I743" s="287">
        <f>COMPOSIÇÕES!$J$95</f>
        <v>60.670150000000007</v>
      </c>
      <c r="J743" s="384">
        <f t="shared" ref="J743:J751" si="97">G743*I743</f>
        <v>60.670150000000007</v>
      </c>
    </row>
    <row r="744" spans="1:10" s="276" customFormat="1" ht="28.8">
      <c r="A744" s="263"/>
      <c r="B744" s="381" t="s">
        <v>1719</v>
      </c>
      <c r="C744" s="382">
        <v>91927</v>
      </c>
      <c r="D744" s="383" t="str">
        <f>COMPOSIÇÕES!B96</f>
        <v>SINAPI SP - 08/2023</v>
      </c>
      <c r="E744" s="344" t="s">
        <v>770</v>
      </c>
      <c r="F744" s="382" t="s">
        <v>412</v>
      </c>
      <c r="G744" s="316">
        <v>700</v>
      </c>
      <c r="H744" s="530">
        <f>VLOOKUP(C744,COMPOSIÇÕES!A:J,6,FALSE)</f>
        <v>4.8</v>
      </c>
      <c r="I744" s="287">
        <f>COMPOSIÇÕES!$J$96</f>
        <v>5.7359999999999998</v>
      </c>
      <c r="J744" s="384">
        <f t="shared" si="97"/>
        <v>4015.2</v>
      </c>
    </row>
    <row r="745" spans="1:10" s="276" customFormat="1" ht="28.8">
      <c r="A745" s="263"/>
      <c r="B745" s="381" t="s">
        <v>1720</v>
      </c>
      <c r="C745" s="382">
        <v>91927</v>
      </c>
      <c r="D745" s="383" t="str">
        <f t="shared" ref="D745:D747" si="98">$D$744</f>
        <v>SINAPI SP - 08/2023</v>
      </c>
      <c r="E745" s="344" t="s">
        <v>771</v>
      </c>
      <c r="F745" s="382" t="s">
        <v>412</v>
      </c>
      <c r="G745" s="316">
        <v>700</v>
      </c>
      <c r="H745" s="530">
        <f>VLOOKUP(C745,COMPOSIÇÕES!A:J,6,FALSE)</f>
        <v>4.8</v>
      </c>
      <c r="I745" s="287">
        <f>COMPOSIÇÕES!$J$96</f>
        <v>5.7359999999999998</v>
      </c>
      <c r="J745" s="384">
        <f t="shared" si="97"/>
        <v>4015.2</v>
      </c>
    </row>
    <row r="746" spans="1:10" s="276" customFormat="1" ht="28.8">
      <c r="A746" s="263"/>
      <c r="B746" s="381" t="s">
        <v>1721</v>
      </c>
      <c r="C746" s="382">
        <v>91927</v>
      </c>
      <c r="D746" s="383" t="str">
        <f t="shared" si="98"/>
        <v>SINAPI SP - 08/2023</v>
      </c>
      <c r="E746" s="344" t="s">
        <v>772</v>
      </c>
      <c r="F746" s="382" t="s">
        <v>412</v>
      </c>
      <c r="G746" s="316">
        <v>700</v>
      </c>
      <c r="H746" s="530">
        <f>VLOOKUP(C746,COMPOSIÇÕES!A:J,6,FALSE)</f>
        <v>4.8</v>
      </c>
      <c r="I746" s="287">
        <f>COMPOSIÇÕES!$J$96</f>
        <v>5.7359999999999998</v>
      </c>
      <c r="J746" s="384">
        <f t="shared" si="97"/>
        <v>4015.2</v>
      </c>
    </row>
    <row r="747" spans="1:10" s="276" customFormat="1" ht="28.8">
      <c r="A747" s="263"/>
      <c r="B747" s="381" t="s">
        <v>1722</v>
      </c>
      <c r="C747" s="382">
        <v>91927</v>
      </c>
      <c r="D747" s="383" t="str">
        <f t="shared" si="98"/>
        <v>SINAPI SP - 08/2023</v>
      </c>
      <c r="E747" s="344" t="s">
        <v>773</v>
      </c>
      <c r="F747" s="382" t="s">
        <v>412</v>
      </c>
      <c r="G747" s="316">
        <v>400</v>
      </c>
      <c r="H747" s="530">
        <f>VLOOKUP(C747,COMPOSIÇÕES!A:J,6,FALSE)</f>
        <v>4.8</v>
      </c>
      <c r="I747" s="287">
        <f>COMPOSIÇÕES!$J$96</f>
        <v>5.7359999999999998</v>
      </c>
      <c r="J747" s="384">
        <f t="shared" si="97"/>
        <v>2294.4</v>
      </c>
    </row>
    <row r="748" spans="1:10" s="276" customFormat="1" ht="28.8">
      <c r="A748" s="263"/>
      <c r="B748" s="381" t="s">
        <v>1723</v>
      </c>
      <c r="C748" s="382">
        <v>92986</v>
      </c>
      <c r="D748" s="383" t="str">
        <f>COMPOSIÇÕES!B164</f>
        <v>SINAPI SP - 08/2023</v>
      </c>
      <c r="E748" s="344" t="s">
        <v>857</v>
      </c>
      <c r="F748" s="382" t="s">
        <v>412</v>
      </c>
      <c r="G748" s="316">
        <v>25</v>
      </c>
      <c r="H748" s="530">
        <f>VLOOKUP(C748,COMPOSIÇÕES!A:J,6,FALSE)</f>
        <v>32.17</v>
      </c>
      <c r="I748" s="287">
        <f>COMPOSIÇÕES!$J$164</f>
        <v>38.443150000000003</v>
      </c>
      <c r="J748" s="384">
        <f t="shared" si="97"/>
        <v>961.07875000000013</v>
      </c>
    </row>
    <row r="749" spans="1:10" s="276" customFormat="1" ht="28.8">
      <c r="A749" s="263"/>
      <c r="B749" s="381" t="s">
        <v>1724</v>
      </c>
      <c r="C749" s="382">
        <v>92990</v>
      </c>
      <c r="D749" s="383" t="str">
        <f>COMPOSIÇÕES!B165</f>
        <v>SINAPI SP - 08/2023</v>
      </c>
      <c r="E749" s="344" t="s">
        <v>853</v>
      </c>
      <c r="F749" s="382" t="s">
        <v>412</v>
      </c>
      <c r="G749" s="316">
        <v>25</v>
      </c>
      <c r="H749" s="530">
        <f>VLOOKUP(C749,COMPOSIÇÕES!A:J,6,FALSE)</f>
        <v>63.26</v>
      </c>
      <c r="I749" s="287">
        <f>COMPOSIÇÕES!$J$165</f>
        <v>75.595699999999994</v>
      </c>
      <c r="J749" s="384">
        <f t="shared" si="97"/>
        <v>1889.8924999999999</v>
      </c>
    </row>
    <row r="750" spans="1:10" s="276" customFormat="1" ht="28.8">
      <c r="A750" s="263"/>
      <c r="B750" s="381" t="s">
        <v>1725</v>
      </c>
      <c r="C750" s="382">
        <v>92990</v>
      </c>
      <c r="D750" s="383" t="str">
        <f t="shared" ref="D750:D752" si="99">$D$749</f>
        <v>SINAPI SP - 08/2023</v>
      </c>
      <c r="E750" s="344" t="s">
        <v>854</v>
      </c>
      <c r="F750" s="382" t="s">
        <v>412</v>
      </c>
      <c r="G750" s="316">
        <v>25</v>
      </c>
      <c r="H750" s="530">
        <f>VLOOKUP(C750,COMPOSIÇÕES!A:J,6,FALSE)</f>
        <v>63.26</v>
      </c>
      <c r="I750" s="287">
        <f>COMPOSIÇÕES!$J$165</f>
        <v>75.595699999999994</v>
      </c>
      <c r="J750" s="384">
        <f t="shared" si="97"/>
        <v>1889.8924999999999</v>
      </c>
    </row>
    <row r="751" spans="1:10" s="276" customFormat="1" ht="28.8">
      <c r="A751" s="263"/>
      <c r="B751" s="381" t="s">
        <v>1726</v>
      </c>
      <c r="C751" s="382">
        <v>92990</v>
      </c>
      <c r="D751" s="383" t="str">
        <f t="shared" si="99"/>
        <v>SINAPI SP - 08/2023</v>
      </c>
      <c r="E751" s="344" t="s">
        <v>855</v>
      </c>
      <c r="F751" s="382" t="s">
        <v>412</v>
      </c>
      <c r="G751" s="316">
        <v>25</v>
      </c>
      <c r="H751" s="530">
        <f>VLOOKUP(C751,COMPOSIÇÕES!A:J,6,FALSE)</f>
        <v>63.26</v>
      </c>
      <c r="I751" s="287">
        <f>COMPOSIÇÕES!$J$165</f>
        <v>75.595699999999994</v>
      </c>
      <c r="J751" s="384">
        <f t="shared" si="97"/>
        <v>1889.8924999999999</v>
      </c>
    </row>
    <row r="752" spans="1:10" s="276" customFormat="1" ht="28.8">
      <c r="A752" s="263"/>
      <c r="B752" s="381" t="s">
        <v>1727</v>
      </c>
      <c r="C752" s="382">
        <v>92990</v>
      </c>
      <c r="D752" s="383" t="str">
        <f t="shared" si="99"/>
        <v>SINAPI SP - 08/2023</v>
      </c>
      <c r="E752" s="344" t="s">
        <v>856</v>
      </c>
      <c r="F752" s="382" t="s">
        <v>412</v>
      </c>
      <c r="G752" s="316">
        <v>25</v>
      </c>
      <c r="H752" s="530">
        <f>VLOOKUP(C752,COMPOSIÇÕES!A:J,6,FALSE)</f>
        <v>63.26</v>
      </c>
      <c r="I752" s="287">
        <f>COMPOSIÇÕES!$J$165</f>
        <v>75.595699999999994</v>
      </c>
      <c r="J752" s="384">
        <f t="shared" ref="J752:J756" si="100">G752*I752</f>
        <v>1889.8924999999999</v>
      </c>
    </row>
    <row r="753" spans="1:10" s="276" customFormat="1">
      <c r="A753" s="263"/>
      <c r="B753" s="381" t="s">
        <v>1728</v>
      </c>
      <c r="C753" s="382" t="s">
        <v>711</v>
      </c>
      <c r="D753" s="383" t="str">
        <f>COMPOSIÇÕES!B103</f>
        <v>FDE - 07/2023</v>
      </c>
      <c r="E753" s="344" t="s">
        <v>732</v>
      </c>
      <c r="F753" s="382" t="s">
        <v>431</v>
      </c>
      <c r="G753" s="316">
        <v>8</v>
      </c>
      <c r="H753" s="530">
        <f>COMPOSIÇÕES!F103</f>
        <v>22.98</v>
      </c>
      <c r="I753" s="287">
        <f>COMPOSIÇÕES!$J$103</f>
        <v>27.461100000000002</v>
      </c>
      <c r="J753" s="384">
        <f t="shared" si="100"/>
        <v>219.68880000000001</v>
      </c>
    </row>
    <row r="754" spans="1:10" s="276" customFormat="1">
      <c r="A754" s="263"/>
      <c r="B754" s="381" t="s">
        <v>1729</v>
      </c>
      <c r="C754" s="382" t="s">
        <v>711</v>
      </c>
      <c r="D754" s="383" t="str">
        <f>COMPOSIÇÕES!B144</f>
        <v>FDE - 07/2023</v>
      </c>
      <c r="E754" s="344" t="s">
        <v>871</v>
      </c>
      <c r="F754" s="382" t="s">
        <v>431</v>
      </c>
      <c r="G754" s="316">
        <v>4</v>
      </c>
      <c r="H754" s="530">
        <f>COMPOSIÇÕES!F144</f>
        <v>28.62</v>
      </c>
      <c r="I754" s="287">
        <f>COMPOSIÇÕES!$J$144</f>
        <v>34.200900000000004</v>
      </c>
      <c r="J754" s="384">
        <f t="shared" si="100"/>
        <v>136.80360000000002</v>
      </c>
    </row>
    <row r="755" spans="1:10" s="276" customFormat="1">
      <c r="A755" s="263"/>
      <c r="B755" s="381" t="s">
        <v>1730</v>
      </c>
      <c r="C755" s="382" t="s">
        <v>711</v>
      </c>
      <c r="D755" s="383" t="str">
        <f>COMPOSIÇÕES!B166</f>
        <v>FDE - 07/2023</v>
      </c>
      <c r="E755" s="344" t="s">
        <v>872</v>
      </c>
      <c r="F755" s="382" t="s">
        <v>431</v>
      </c>
      <c r="G755" s="316">
        <v>12</v>
      </c>
      <c r="H755" s="530">
        <f>COMPOSIÇÕES!F166</f>
        <v>47.32</v>
      </c>
      <c r="I755" s="287">
        <f>COMPOSIÇÕES!$J$166</f>
        <v>56.547400000000003</v>
      </c>
      <c r="J755" s="384">
        <f t="shared" si="100"/>
        <v>678.56880000000001</v>
      </c>
    </row>
    <row r="756" spans="1:10" s="263" customFormat="1" ht="72">
      <c r="B756" s="381" t="s">
        <v>1731</v>
      </c>
      <c r="C756" s="275" t="s">
        <v>711</v>
      </c>
      <c r="D756" s="277" t="str">
        <f>COMPOSIÇÕES!B245</f>
        <v>CDHU - BOLETIM 191 + FDE - 07/2023 + SINAPI SP - 08/2023</v>
      </c>
      <c r="E756" s="278" t="s">
        <v>1027</v>
      </c>
      <c r="F756" s="275" t="s">
        <v>530</v>
      </c>
      <c r="G756" s="313">
        <v>1</v>
      </c>
      <c r="H756" s="301">
        <f>SUM(COMPOSIÇÕES!G246:G252)</f>
        <v>8966.5151933054367</v>
      </c>
      <c r="I756" s="286">
        <f>COMPOSIÇÕES!$J$245</f>
        <v>10714.985655999999</v>
      </c>
      <c r="J756" s="295">
        <f t="shared" si="100"/>
        <v>10714.985655999999</v>
      </c>
    </row>
    <row r="757" spans="1:10" s="263" customFormat="1">
      <c r="B757" s="577" t="s">
        <v>1736</v>
      </c>
      <c r="C757" s="578"/>
      <c r="D757" s="578"/>
      <c r="E757" s="578"/>
      <c r="F757" s="578"/>
      <c r="G757" s="578"/>
      <c r="H757" s="578"/>
      <c r="I757" s="578"/>
      <c r="J757" s="296">
        <f>SUM(J728:J756)</f>
        <v>65614.707271203268</v>
      </c>
    </row>
    <row r="758" spans="1:10" s="263" customFormat="1">
      <c r="B758" s="237" t="s">
        <v>1732</v>
      </c>
      <c r="C758" s="238"/>
      <c r="D758" s="533"/>
      <c r="E758" s="239" t="s">
        <v>650</v>
      </c>
      <c r="F758" s="238"/>
      <c r="G758" s="312"/>
      <c r="H758" s="300"/>
      <c r="I758" s="285"/>
      <c r="J758" s="294"/>
    </row>
    <row r="759" spans="1:10" s="276" customFormat="1">
      <c r="A759" s="263"/>
      <c r="B759" s="381" t="s">
        <v>1733</v>
      </c>
      <c r="C759" s="382" t="s">
        <v>708</v>
      </c>
      <c r="D759" s="383" t="str">
        <f>COMPOSIÇÕES!B115</f>
        <v>FDE - 07/2023</v>
      </c>
      <c r="E759" s="344" t="s">
        <v>651</v>
      </c>
      <c r="F759" s="382" t="s">
        <v>541</v>
      </c>
      <c r="G759" s="316">
        <v>100</v>
      </c>
      <c r="H759" s="290">
        <f>COMPOSIÇÕES!$G$116</f>
        <v>5.116260162601626</v>
      </c>
      <c r="I759" s="287">
        <f>COMPOSIÇÕES!$J$115</f>
        <v>6.1139308943089432</v>
      </c>
      <c r="J759" s="384">
        <f>G759*I759</f>
        <v>611.39308943089429</v>
      </c>
    </row>
    <row r="760" spans="1:10" s="263" customFormat="1">
      <c r="B760" s="577" t="s">
        <v>1735</v>
      </c>
      <c r="C760" s="578"/>
      <c r="D760" s="578"/>
      <c r="E760" s="578"/>
      <c r="F760" s="578"/>
      <c r="G760" s="578"/>
      <c r="H760" s="578"/>
      <c r="I760" s="578"/>
      <c r="J760" s="296">
        <f>J759</f>
        <v>611.39308943089429</v>
      </c>
    </row>
    <row r="761" spans="1:10" s="263" customFormat="1" ht="25.5" customHeight="1" thickBot="1">
      <c r="B761" s="564" t="s">
        <v>654</v>
      </c>
      <c r="C761" s="565"/>
      <c r="D761" s="565"/>
      <c r="E761" s="565"/>
      <c r="F761" s="565"/>
      <c r="G761" s="565"/>
      <c r="H761" s="565"/>
      <c r="I761" s="566"/>
      <c r="J761" s="297">
        <f>J704+J726+J757+J760</f>
        <v>161862.8089571904</v>
      </c>
    </row>
    <row r="762" spans="1:10" s="147" customFormat="1">
      <c r="B762" s="264" t="s">
        <v>1737</v>
      </c>
      <c r="C762" s="265"/>
      <c r="D762" s="534"/>
      <c r="E762" s="266" t="s">
        <v>658</v>
      </c>
      <c r="F762" s="265"/>
      <c r="G762" s="310"/>
      <c r="H762" s="298"/>
      <c r="I762" s="283"/>
      <c r="J762" s="292"/>
    </row>
    <row r="763" spans="1:10" s="147" customFormat="1" ht="6" customHeight="1">
      <c r="B763" s="234"/>
      <c r="C763" s="235"/>
      <c r="D763" s="532"/>
      <c r="E763" s="236"/>
      <c r="F763" s="235"/>
      <c r="G763" s="311"/>
      <c r="H763" s="299"/>
      <c r="I763" s="284"/>
      <c r="J763" s="293"/>
    </row>
    <row r="764" spans="1:10" s="261" customFormat="1">
      <c r="B764" s="237" t="s">
        <v>1738</v>
      </c>
      <c r="C764" s="238"/>
      <c r="D764" s="533"/>
      <c r="E764" s="239" t="s">
        <v>483</v>
      </c>
      <c r="F764" s="238"/>
      <c r="G764" s="312"/>
      <c r="H764" s="300"/>
      <c r="I764" s="285"/>
      <c r="J764" s="294"/>
    </row>
    <row r="765" spans="1:10" s="150" customFormat="1">
      <c r="B765" s="381" t="s">
        <v>1739</v>
      </c>
      <c r="C765" s="382" t="str">
        <f t="shared" ref="C765:I766" si="101">C702</f>
        <v>16.06.076</v>
      </c>
      <c r="D765" s="317" t="str">
        <f t="shared" si="101"/>
        <v>FDE - 07/2023</v>
      </c>
      <c r="E765" s="344" t="str">
        <f t="shared" si="101"/>
        <v>FORNECIMENTO E INSTALAÇAO DE PLACAS DE OBRA</v>
      </c>
      <c r="F765" s="382" t="str">
        <f t="shared" si="101"/>
        <v>M²</v>
      </c>
      <c r="G765" s="316">
        <f t="shared" si="101"/>
        <v>5</v>
      </c>
      <c r="H765" s="290">
        <f t="shared" si="101"/>
        <v>407.8057</v>
      </c>
      <c r="I765" s="287">
        <f t="shared" si="101"/>
        <v>487.3278115</v>
      </c>
      <c r="J765" s="384">
        <f>G765*I765</f>
        <v>2436.6390575</v>
      </c>
    </row>
    <row r="766" spans="1:10" s="150" customFormat="1" ht="28.8">
      <c r="B766" s="381" t="s">
        <v>1740</v>
      </c>
      <c r="C766" s="382">
        <f>COMPOSIÇÕES!A7</f>
        <v>37524</v>
      </c>
      <c r="D766" s="383" t="str">
        <f>COMPOSIÇÕES!B7</f>
        <v>SINAPI SP - 08/2023</v>
      </c>
      <c r="E766" s="388" t="str">
        <f>COMPOSIÇÕES!C7</f>
        <v>TELA PLASTICA LARANJA, TIPO TAPUME PARA SINALIZACAO, MALHA RETANGULAR, ROLO 1.20 X 50 M (L X C)</v>
      </c>
      <c r="F766" s="382" t="str">
        <f t="shared" si="101"/>
        <v>M²</v>
      </c>
      <c r="G766" s="316">
        <f t="shared" si="101"/>
        <v>40</v>
      </c>
      <c r="H766" s="290">
        <f t="shared" si="101"/>
        <v>2</v>
      </c>
      <c r="I766" s="287">
        <f t="shared" si="101"/>
        <v>2.39</v>
      </c>
      <c r="J766" s="384">
        <f>G766*I766</f>
        <v>95.600000000000009</v>
      </c>
    </row>
    <row r="767" spans="1:10" s="261" customFormat="1">
      <c r="B767" s="577" t="s">
        <v>1858</v>
      </c>
      <c r="C767" s="578"/>
      <c r="D767" s="578"/>
      <c r="E767" s="578"/>
      <c r="F767" s="578"/>
      <c r="G767" s="578"/>
      <c r="H767" s="578"/>
      <c r="I767" s="578"/>
      <c r="J767" s="296">
        <f>SUM(J765:J766)</f>
        <v>2532.2390574999999</v>
      </c>
    </row>
    <row r="768" spans="1:10" s="147" customFormat="1">
      <c r="B768" s="237" t="s">
        <v>1741</v>
      </c>
      <c r="C768" s="238"/>
      <c r="D768" s="533"/>
      <c r="E768" s="239" t="s">
        <v>525</v>
      </c>
      <c r="F768" s="238"/>
      <c r="G768" s="312"/>
      <c r="H768" s="300"/>
      <c r="I768" s="285"/>
      <c r="J768" s="294"/>
    </row>
    <row r="769" spans="1:10" s="276" customFormat="1" ht="28.8">
      <c r="B769" s="381" t="s">
        <v>1742</v>
      </c>
      <c r="C769" s="382" t="s">
        <v>711</v>
      </c>
      <c r="D769" s="383" t="str">
        <f>COMPOSIÇÕES!B10</f>
        <v>SINAPI SP - 08/2023</v>
      </c>
      <c r="E769" s="487" t="s">
        <v>2404</v>
      </c>
      <c r="F769" s="382" t="s">
        <v>431</v>
      </c>
      <c r="G769" s="315">
        <v>23</v>
      </c>
      <c r="H769" s="290">
        <f>SUM(COMPOSIÇÕES!G11:G13)</f>
        <v>328.17395199999999</v>
      </c>
      <c r="I769" s="287">
        <f>COMPOSIÇÕES!J10</f>
        <v>392.16787263999993</v>
      </c>
      <c r="J769" s="384">
        <f t="shared" ref="J769" si="102">G769*I769</f>
        <v>9019.8610707199987</v>
      </c>
    </row>
    <row r="770" spans="1:10" s="150" customFormat="1" ht="86.4">
      <c r="B770" s="381" t="s">
        <v>1743</v>
      </c>
      <c r="C770" s="382" t="s">
        <v>711</v>
      </c>
      <c r="D770" s="383" t="str">
        <f>COMPOSIÇÕES!B14</f>
        <v>SINAPI SP - 08/2023</v>
      </c>
      <c r="E770" s="344" t="s">
        <v>754</v>
      </c>
      <c r="F770" s="382" t="s">
        <v>412</v>
      </c>
      <c r="G770" s="317">
        <v>12</v>
      </c>
      <c r="H770" s="290">
        <f>SUM(COMPOSIÇÕES!G15:G18)</f>
        <v>37.264400000000002</v>
      </c>
      <c r="I770" s="287">
        <f>COMPOSIÇÕES!$J$14</f>
        <v>44.530958000000005</v>
      </c>
      <c r="J770" s="384">
        <f>G770*I770</f>
        <v>534.37149600000009</v>
      </c>
    </row>
    <row r="771" spans="1:10" s="150" customFormat="1" ht="86.4">
      <c r="B771" s="381" t="s">
        <v>1744</v>
      </c>
      <c r="C771" s="382" t="s">
        <v>711</v>
      </c>
      <c r="D771" s="383" t="str">
        <f>COMPOSIÇÕES!B19</f>
        <v>SINAPI SP - 08/2023</v>
      </c>
      <c r="E771" s="344" t="s">
        <v>755</v>
      </c>
      <c r="F771" s="382" t="s">
        <v>412</v>
      </c>
      <c r="G771" s="317">
        <v>4</v>
      </c>
      <c r="H771" s="290">
        <f>SUM(COMPOSIÇÕES!G20:G23)</f>
        <v>69.234999999999985</v>
      </c>
      <c r="I771" s="287">
        <f>COMPOSIÇÕES!$J$19</f>
        <v>82.735824999999991</v>
      </c>
      <c r="J771" s="384">
        <f t="shared" ref="J771:J783" si="103">G771*I771</f>
        <v>330.94329999999997</v>
      </c>
    </row>
    <row r="772" spans="1:10" s="150" customFormat="1" ht="86.4">
      <c r="B772" s="381" t="s">
        <v>1745</v>
      </c>
      <c r="C772" s="382" t="s">
        <v>711</v>
      </c>
      <c r="D772" s="383" t="s">
        <v>2471</v>
      </c>
      <c r="E772" s="344" t="s">
        <v>804</v>
      </c>
      <c r="F772" s="382" t="s">
        <v>412</v>
      </c>
      <c r="G772" s="317">
        <v>16</v>
      </c>
      <c r="H772" s="290">
        <f>SUM(COMPOSIÇÕES!$G$118:$G$119)</f>
        <v>30.365000000000002</v>
      </c>
      <c r="I772" s="287">
        <f>COMPOSIÇÕES!$J$117</f>
        <v>112.69806</v>
      </c>
      <c r="J772" s="384">
        <f t="shared" si="103"/>
        <v>1803.16896</v>
      </c>
    </row>
    <row r="773" spans="1:10" s="150" customFormat="1" ht="86.4">
      <c r="B773" s="381" t="s">
        <v>1746</v>
      </c>
      <c r="C773" s="382" t="s">
        <v>711</v>
      </c>
      <c r="D773" s="383" t="str">
        <f>COMPOSIÇÕES!B29</f>
        <v xml:space="preserve">SINAPI SP - 08/2023 </v>
      </c>
      <c r="E773" s="344" t="s">
        <v>747</v>
      </c>
      <c r="F773" s="382" t="s">
        <v>412</v>
      </c>
      <c r="G773" s="317">
        <v>43</v>
      </c>
      <c r="H773" s="290">
        <f>SUM(COMPOSIÇÕES!G25:G28)</f>
        <v>53.322000000000003</v>
      </c>
      <c r="I773" s="287">
        <f>COMPOSIÇÕES!$J$24</f>
        <v>63.719789999999996</v>
      </c>
      <c r="J773" s="384">
        <f t="shared" si="103"/>
        <v>2739.9509699999999</v>
      </c>
    </row>
    <row r="774" spans="1:10" s="393" customFormat="1" ht="86.4">
      <c r="A774" s="150"/>
      <c r="B774" s="381" t="s">
        <v>1747</v>
      </c>
      <c r="C774" s="394" t="s">
        <v>711</v>
      </c>
      <c r="D774" s="389" t="str">
        <f>COMPOSIÇÕES!B29</f>
        <v xml:space="preserve">SINAPI SP - 08/2023 </v>
      </c>
      <c r="E774" s="395" t="s">
        <v>748</v>
      </c>
      <c r="F774" s="394" t="s">
        <v>412</v>
      </c>
      <c r="G774" s="315">
        <v>35</v>
      </c>
      <c r="H774" s="392">
        <f>SUM(COMPOSIÇÕES!G30:G33)</f>
        <v>85.438000000000002</v>
      </c>
      <c r="I774" s="396">
        <f>COMPOSIÇÕES!$J$29</f>
        <v>102.09840999999999</v>
      </c>
      <c r="J774" s="397">
        <f t="shared" si="103"/>
        <v>3573.4443499999998</v>
      </c>
    </row>
    <row r="775" spans="1:10" s="393" customFormat="1" ht="28.8">
      <c r="A775" s="150"/>
      <c r="B775" s="381" t="s">
        <v>1748</v>
      </c>
      <c r="C775" s="394" t="str">
        <f t="shared" ref="C775:I775" si="104">C712</f>
        <v>22.02.030</v>
      </c>
      <c r="D775" s="389" t="str">
        <f t="shared" si="104"/>
        <v>CDHU - BOLETIM 191</v>
      </c>
      <c r="E775" s="395" t="str">
        <f t="shared" si="104"/>
        <v>Forro em painéis de gesso acartonado, espessura de 12,5mm, fixo</v>
      </c>
      <c r="F775" s="394" t="str">
        <f t="shared" si="104"/>
        <v>M²</v>
      </c>
      <c r="G775" s="315">
        <f>6*0.55*2*13</f>
        <v>85.800000000000011</v>
      </c>
      <c r="H775" s="392">
        <f t="shared" si="104"/>
        <v>99.47</v>
      </c>
      <c r="I775" s="396">
        <f t="shared" si="104"/>
        <v>118.86664999999999</v>
      </c>
      <c r="J775" s="397">
        <f t="shared" si="103"/>
        <v>10198.75857</v>
      </c>
    </row>
    <row r="776" spans="1:10" s="150" customFormat="1" ht="57.6">
      <c r="B776" s="381" t="s">
        <v>1749</v>
      </c>
      <c r="C776" s="382" t="s">
        <v>711</v>
      </c>
      <c r="D776" s="383" t="str">
        <f>COMPOSIÇÕES!B36</f>
        <v xml:space="preserve">SINAPI SP - 08/2023 </v>
      </c>
      <c r="E776" s="398" t="s">
        <v>756</v>
      </c>
      <c r="F776" s="382" t="s">
        <v>413</v>
      </c>
      <c r="G776" s="315">
        <v>520</v>
      </c>
      <c r="H776" s="287">
        <f>SUM(COMPOSIÇÕES!G37:G39)</f>
        <v>84.94</v>
      </c>
      <c r="I776" s="287">
        <f>COMPOSIÇÕES!$J$36</f>
        <v>101.5033</v>
      </c>
      <c r="J776" s="384">
        <f t="shared" si="103"/>
        <v>52781.716</v>
      </c>
    </row>
    <row r="777" spans="1:10" s="335" customFormat="1" ht="28.8">
      <c r="A777" s="150"/>
      <c r="B777" s="381" t="s">
        <v>1750</v>
      </c>
      <c r="C777" s="382" t="str">
        <f>COMPOSIÇÕES!A44</f>
        <v>61.10.565</v>
      </c>
      <c r="D777" s="383" t="str">
        <f>COMPOSIÇÕES!B44</f>
        <v>CDHU - BOLETIM 191</v>
      </c>
      <c r="E777" s="388" t="s">
        <v>1042</v>
      </c>
      <c r="F777" s="382" t="s">
        <v>431</v>
      </c>
      <c r="G777" s="315">
        <v>9</v>
      </c>
      <c r="H777" s="287">
        <f>COMPOSIÇÕES!G45</f>
        <v>248.91654375000002</v>
      </c>
      <c r="I777" s="287">
        <f>COMPOSIÇÕES!$J$44</f>
        <v>297.45526978125002</v>
      </c>
      <c r="J777" s="384">
        <f t="shared" si="103"/>
        <v>2677.0974280312503</v>
      </c>
    </row>
    <row r="778" spans="1:10" s="335" customFormat="1" ht="28.8">
      <c r="A778" s="150"/>
      <c r="B778" s="381" t="s">
        <v>1751</v>
      </c>
      <c r="C778" s="382" t="str">
        <f>COMPOSIÇÕES!A46</f>
        <v>61.10.564</v>
      </c>
      <c r="D778" s="383" t="str">
        <f>COMPOSIÇÕES!B46</f>
        <v>CDHU - BOLETIM 191</v>
      </c>
      <c r="E778" s="388" t="s">
        <v>1043</v>
      </c>
      <c r="F778" s="382" t="s">
        <v>431</v>
      </c>
      <c r="G778" s="315">
        <v>2</v>
      </c>
      <c r="H778" s="287">
        <f>COMPOSIÇÕES!G47</f>
        <v>49.947131250000005</v>
      </c>
      <c r="I778" s="287">
        <f>COMPOSIÇÕES!$J$46</f>
        <v>59.68682184375001</v>
      </c>
      <c r="J778" s="384">
        <f t="shared" si="103"/>
        <v>119.37364368750002</v>
      </c>
    </row>
    <row r="779" spans="1:10" s="335" customFormat="1" ht="28.8">
      <c r="A779" s="150"/>
      <c r="B779" s="381" t="s">
        <v>1752</v>
      </c>
      <c r="C779" s="382" t="str">
        <f>COMPOSIÇÕES!A48</f>
        <v>61.10.564</v>
      </c>
      <c r="D779" s="383" t="str">
        <f>COMPOSIÇÕES!B48</f>
        <v>CDHU - BOLETIM 191</v>
      </c>
      <c r="E779" s="388" t="s">
        <v>1044</v>
      </c>
      <c r="F779" s="382" t="s">
        <v>431</v>
      </c>
      <c r="G779" s="315">
        <v>2</v>
      </c>
      <c r="H779" s="287">
        <f>COMPOSIÇÕES!G49</f>
        <v>82.875240000000005</v>
      </c>
      <c r="I779" s="287">
        <f>COMPOSIÇÕES!$J$48</f>
        <v>99.035911800000008</v>
      </c>
      <c r="J779" s="384">
        <f t="shared" si="103"/>
        <v>198.07182360000002</v>
      </c>
    </row>
    <row r="780" spans="1:10" s="150" customFormat="1" ht="28.8">
      <c r="B780" s="381" t="s">
        <v>1753</v>
      </c>
      <c r="C780" s="382" t="str">
        <f>COMPOSIÇÕES!A122</f>
        <v>61.10.581</v>
      </c>
      <c r="D780" s="383" t="str">
        <f>COMPOSIÇÕES!B122</f>
        <v>CDHU - BOLETIM 191</v>
      </c>
      <c r="E780" s="388" t="s">
        <v>809</v>
      </c>
      <c r="F780" s="382" t="s">
        <v>431</v>
      </c>
      <c r="G780" s="317">
        <v>2</v>
      </c>
      <c r="H780" s="287">
        <f>SUM(COMPOSIÇÕES!$G$123:$G$123)</f>
        <v>33.890000000000008</v>
      </c>
      <c r="I780" s="287">
        <f>COMPOSIÇÕES!$J$122</f>
        <v>40.498550000000009</v>
      </c>
      <c r="J780" s="384">
        <f t="shared" si="103"/>
        <v>80.997100000000017</v>
      </c>
    </row>
    <row r="781" spans="1:10" s="150" customFormat="1" ht="28.8">
      <c r="B781" s="381" t="s">
        <v>1754</v>
      </c>
      <c r="C781" s="382" t="str">
        <f>COMPOSIÇÕES!A124</f>
        <v>61.10.581</v>
      </c>
      <c r="D781" s="383" t="str">
        <f>COMPOSIÇÕES!B124</f>
        <v>CDHU - BOLETIM 191</v>
      </c>
      <c r="E781" s="388" t="s">
        <v>1119</v>
      </c>
      <c r="F781" s="382" t="s">
        <v>431</v>
      </c>
      <c r="G781" s="317">
        <v>9</v>
      </c>
      <c r="H781" s="287">
        <f>SUM(COMPOSIÇÕES!$G$125:$G$125)</f>
        <v>203.34</v>
      </c>
      <c r="I781" s="287">
        <f>COMPOSIÇÕES!$J$124</f>
        <v>242.9913</v>
      </c>
      <c r="J781" s="384">
        <f t="shared" si="103"/>
        <v>2186.9216999999999</v>
      </c>
    </row>
    <row r="782" spans="1:10" s="150" customFormat="1" ht="28.8">
      <c r="B782" s="381" t="s">
        <v>1755</v>
      </c>
      <c r="C782" s="382" t="str">
        <f>COMPOSIÇÕES!A56</f>
        <v>61.10.581</v>
      </c>
      <c r="D782" s="383" t="str">
        <f>COMPOSIÇÕES!B56</f>
        <v>CDHU - BOLETIM 191</v>
      </c>
      <c r="E782" s="388" t="s">
        <v>1117</v>
      </c>
      <c r="F782" s="382" t="s">
        <v>431</v>
      </c>
      <c r="G782" s="315">
        <v>2</v>
      </c>
      <c r="H782" s="287">
        <f>COMPOSIÇÕES!G57</f>
        <v>16.945000000000004</v>
      </c>
      <c r="I782" s="287">
        <f>COMPOSIÇÕES!$J$56</f>
        <v>20.249275000000004</v>
      </c>
      <c r="J782" s="384">
        <f t="shared" si="103"/>
        <v>40.498550000000009</v>
      </c>
    </row>
    <row r="783" spans="1:10" s="150" customFormat="1" ht="28.8">
      <c r="A783" s="271"/>
      <c r="B783" s="381" t="s">
        <v>1756</v>
      </c>
      <c r="C783" s="382" t="s">
        <v>711</v>
      </c>
      <c r="D783" s="383" t="str">
        <f>COMPOSIÇÕES!B58</f>
        <v xml:space="preserve">SINAPI SP - 08/2023 </v>
      </c>
      <c r="E783" s="388" t="s">
        <v>758</v>
      </c>
      <c r="F783" s="382" t="s">
        <v>412</v>
      </c>
      <c r="G783" s="315">
        <v>85</v>
      </c>
      <c r="H783" s="287">
        <f>SUM(COMPOSIÇÕES!G59:G61)</f>
        <v>31.499000000000002</v>
      </c>
      <c r="I783" s="287">
        <f>COMPOSIÇÕES!$J$58</f>
        <v>37.641304999999996</v>
      </c>
      <c r="J783" s="384">
        <f t="shared" si="103"/>
        <v>3199.5109249999996</v>
      </c>
    </row>
    <row r="784" spans="1:10" s="150" customFormat="1" ht="28.8">
      <c r="A784" s="271"/>
      <c r="B784" s="381" t="s">
        <v>1757</v>
      </c>
      <c r="C784" s="382" t="s">
        <v>711</v>
      </c>
      <c r="D784" s="383" t="str">
        <f>COMPOSIÇÕES!B64</f>
        <v>SINAPI SP - 08/2023</v>
      </c>
      <c r="E784" s="388" t="s">
        <v>697</v>
      </c>
      <c r="F784" s="382" t="s">
        <v>431</v>
      </c>
      <c r="G784" s="315">
        <v>23</v>
      </c>
      <c r="H784" s="287">
        <f>SUM(COMPOSIÇÕES!$G$65:$G$67)</f>
        <v>92.32</v>
      </c>
      <c r="I784" s="287">
        <f>COMPOSIÇÕES!$J$64</f>
        <v>110.32240000000002</v>
      </c>
      <c r="J784" s="384">
        <f t="shared" ref="J784:J788" si="105">I784*G784</f>
        <v>2537.4152000000004</v>
      </c>
    </row>
    <row r="785" spans="1:10" s="150" customFormat="1" ht="28.8">
      <c r="A785" s="271"/>
      <c r="B785" s="381" t="s">
        <v>1758</v>
      </c>
      <c r="C785" s="382" t="s">
        <v>711</v>
      </c>
      <c r="D785" s="383" t="str">
        <f>COMPOSIÇÕES!B68</f>
        <v xml:space="preserve">SINAPI SP - 08/2023 </v>
      </c>
      <c r="E785" s="388" t="s">
        <v>762</v>
      </c>
      <c r="F785" s="382" t="s">
        <v>415</v>
      </c>
      <c r="G785" s="315">
        <v>1</v>
      </c>
      <c r="H785" s="287">
        <f>SUM(COMPOSIÇÕES!$G$69:$G$70)</f>
        <v>58.91</v>
      </c>
      <c r="I785" s="287">
        <f>COMPOSIÇÕES!$J$68</f>
        <v>70.397449999999992</v>
      </c>
      <c r="J785" s="384">
        <f t="shared" si="105"/>
        <v>70.397449999999992</v>
      </c>
    </row>
    <row r="786" spans="1:10" s="150" customFormat="1" ht="28.8">
      <c r="A786" s="271"/>
      <c r="B786" s="381" t="s">
        <v>1759</v>
      </c>
      <c r="C786" s="399" t="s">
        <v>763</v>
      </c>
      <c r="D786" s="273" t="str">
        <f>COMPOSIÇÕES!B71</f>
        <v xml:space="preserve">SINAPI SP - 08/2023 </v>
      </c>
      <c r="E786" s="400" t="s">
        <v>761</v>
      </c>
      <c r="F786" s="273" t="s">
        <v>541</v>
      </c>
      <c r="G786" s="316">
        <v>2</v>
      </c>
      <c r="H786" s="287">
        <f>SUM(COMPOSIÇÕES!$G$72:$G$72)</f>
        <v>28.8</v>
      </c>
      <c r="I786" s="287">
        <f>COMPOSIÇÕES!$J$71</f>
        <v>34.416000000000004</v>
      </c>
      <c r="J786" s="384">
        <f t="shared" si="105"/>
        <v>68.832000000000008</v>
      </c>
    </row>
    <row r="787" spans="1:10" s="150" customFormat="1">
      <c r="A787" s="271"/>
      <c r="B787" s="381" t="s">
        <v>2415</v>
      </c>
      <c r="C787" s="399" t="s">
        <v>759</v>
      </c>
      <c r="D787" s="273" t="str">
        <f>COMPOSIÇÕES!B73</f>
        <v>FDE - 07/2023</v>
      </c>
      <c r="E787" s="400" t="s">
        <v>760</v>
      </c>
      <c r="F787" s="273" t="s">
        <v>701</v>
      </c>
      <c r="G787" s="316">
        <v>1</v>
      </c>
      <c r="H787" s="530">
        <f>VLOOKUP(C787,COMPOSIÇÕES!A:J,6,FALSE)</f>
        <v>38.485355648535567</v>
      </c>
      <c r="I787" s="287">
        <f>COMPOSIÇÕES!$J$73</f>
        <v>45.99</v>
      </c>
      <c r="J787" s="384">
        <f t="shared" si="105"/>
        <v>45.99</v>
      </c>
    </row>
    <row r="788" spans="1:10" s="150" customFormat="1">
      <c r="A788" s="271"/>
      <c r="B788" s="381" t="s">
        <v>2447</v>
      </c>
      <c r="C788" s="399" t="s">
        <v>764</v>
      </c>
      <c r="D788" s="273" t="str">
        <f>COMPOSIÇÕES!B74</f>
        <v>FDE - 07/2023</v>
      </c>
      <c r="E788" s="400" t="s">
        <v>765</v>
      </c>
      <c r="F788" s="273" t="s">
        <v>541</v>
      </c>
      <c r="G788" s="316">
        <v>3</v>
      </c>
      <c r="H788" s="530">
        <f>VLOOKUP(C788,COMPOSIÇÕES!A:J,6,FALSE)</f>
        <v>210.81171548117152</v>
      </c>
      <c r="I788" s="287">
        <f>COMPOSIÇÕES!$J$74</f>
        <v>251.91999999999996</v>
      </c>
      <c r="J788" s="384">
        <f t="shared" si="105"/>
        <v>755.75999999999988</v>
      </c>
    </row>
    <row r="789" spans="1:10" s="147" customFormat="1">
      <c r="B789" s="577" t="s">
        <v>1859</v>
      </c>
      <c r="C789" s="578"/>
      <c r="D789" s="578"/>
      <c r="E789" s="578"/>
      <c r="F789" s="578"/>
      <c r="G789" s="578"/>
      <c r="H789" s="578"/>
      <c r="I789" s="578"/>
      <c r="J789" s="296">
        <f>SUM(J769:J788)</f>
        <v>92963.080537038753</v>
      </c>
    </row>
    <row r="790" spans="1:10" s="263" customFormat="1">
      <c r="B790" s="237" t="s">
        <v>1760</v>
      </c>
      <c r="C790" s="238"/>
      <c r="D790" s="533"/>
      <c r="E790" s="239" t="s">
        <v>526</v>
      </c>
      <c r="F790" s="238"/>
      <c r="G790" s="312"/>
      <c r="H790" s="300"/>
      <c r="I790" s="285"/>
      <c r="J790" s="294"/>
    </row>
    <row r="791" spans="1:10" s="276" customFormat="1">
      <c r="A791" s="263"/>
      <c r="B791" s="381" t="s">
        <v>1761</v>
      </c>
      <c r="C791" s="382" t="s">
        <v>711</v>
      </c>
      <c r="D791" s="383" t="str">
        <f>COMPOSIÇÕES!B75</f>
        <v>FDE - 07/2023</v>
      </c>
      <c r="E791" s="344" t="s">
        <v>745</v>
      </c>
      <c r="F791" s="382" t="s">
        <v>431</v>
      </c>
      <c r="G791" s="316">
        <v>125</v>
      </c>
      <c r="H791" s="290">
        <f>SUM(COMPOSIÇÕES!G76:G78)</f>
        <v>34.013252032520327</v>
      </c>
      <c r="I791" s="287">
        <f>COMPOSIÇÕES!$J$75</f>
        <v>40.645836178861792</v>
      </c>
      <c r="J791" s="384">
        <f t="shared" ref="J791:J805" si="106">G791*I791</f>
        <v>5080.7295223577239</v>
      </c>
    </row>
    <row r="792" spans="1:10" s="276" customFormat="1" ht="28.8">
      <c r="A792" s="263"/>
      <c r="B792" s="381" t="s">
        <v>1762</v>
      </c>
      <c r="C792" s="383" t="str">
        <f>COMPOSIÇÕES!A136</f>
        <v>09.85.062</v>
      </c>
      <c r="D792" s="383" t="str">
        <f>COMPOSIÇÕES!B136</f>
        <v>FDE - 07/2023</v>
      </c>
      <c r="E792" s="344" t="s">
        <v>816</v>
      </c>
      <c r="F792" s="382" t="s">
        <v>431</v>
      </c>
      <c r="G792" s="316">
        <v>1</v>
      </c>
      <c r="H792" s="290">
        <f>SUM(COMPOSIÇÕES!G137:G139)</f>
        <v>28.625999999999998</v>
      </c>
      <c r="I792" s="287">
        <f>COMPOSIÇÕES!$J$136</f>
        <v>34.208069999999999</v>
      </c>
      <c r="J792" s="384">
        <f t="shared" si="106"/>
        <v>34.208069999999999</v>
      </c>
    </row>
    <row r="793" spans="1:10" s="276" customFormat="1" ht="43.2">
      <c r="A793" s="263"/>
      <c r="B793" s="381" t="s">
        <v>1763</v>
      </c>
      <c r="C793" s="382" t="s">
        <v>711</v>
      </c>
      <c r="D793" s="383" t="str">
        <f>COMPOSIÇÕES!B79</f>
        <v>FDE - 07/2023 + SINAPI SP - 08/2023</v>
      </c>
      <c r="E793" s="344" t="s">
        <v>742</v>
      </c>
      <c r="F793" s="382" t="s">
        <v>431</v>
      </c>
      <c r="G793" s="316">
        <v>15</v>
      </c>
      <c r="H793" s="290">
        <f>SUM(COMPOSIÇÕES!G80:G82)</f>
        <v>6.9960000000000004</v>
      </c>
      <c r="I793" s="287">
        <f>COMPOSIÇÕES!$J$79</f>
        <v>8.36022</v>
      </c>
      <c r="J793" s="384">
        <f t="shared" si="106"/>
        <v>125.4033</v>
      </c>
    </row>
    <row r="794" spans="1:10" s="276" customFormat="1">
      <c r="A794" s="263"/>
      <c r="B794" s="381" t="s">
        <v>1764</v>
      </c>
      <c r="C794" s="382" t="s">
        <v>739</v>
      </c>
      <c r="D794" s="383" t="str">
        <f>COMPOSIÇÕES!B83</f>
        <v>FDE - 07/2023</v>
      </c>
      <c r="E794" s="344" t="s">
        <v>766</v>
      </c>
      <c r="F794" s="382" t="s">
        <v>431</v>
      </c>
      <c r="G794" s="316">
        <v>35</v>
      </c>
      <c r="H794" s="530">
        <f>VLOOKUP(C794,COMPOSIÇÕES!A:J,6,FALSE)</f>
        <v>32.35146443514644</v>
      </c>
      <c r="I794" s="287">
        <f>COMPOSIÇÕES!$J$83</f>
        <v>38.659999999999997</v>
      </c>
      <c r="J794" s="384">
        <f t="shared" si="106"/>
        <v>1353.1</v>
      </c>
    </row>
    <row r="795" spans="1:10" s="276" customFormat="1">
      <c r="A795" s="263"/>
      <c r="B795" s="381" t="s">
        <v>1765</v>
      </c>
      <c r="C795" s="382" t="s">
        <v>739</v>
      </c>
      <c r="D795" s="383" t="str">
        <f t="shared" ref="D795:D796" si="107">$D$794</f>
        <v>FDE - 07/2023</v>
      </c>
      <c r="E795" s="344" t="s">
        <v>767</v>
      </c>
      <c r="F795" s="382" t="s">
        <v>431</v>
      </c>
      <c r="G795" s="316">
        <v>10</v>
      </c>
      <c r="H795" s="530">
        <f>VLOOKUP(C795,COMPOSIÇÕES!A:J,6,FALSE)</f>
        <v>32.35146443514644</v>
      </c>
      <c r="I795" s="287">
        <f>COMPOSIÇÕES!$J$83</f>
        <v>38.659999999999997</v>
      </c>
      <c r="J795" s="384">
        <f t="shared" si="106"/>
        <v>386.59999999999997</v>
      </c>
    </row>
    <row r="796" spans="1:10" s="276" customFormat="1">
      <c r="A796" s="263"/>
      <c r="B796" s="381" t="s">
        <v>1766</v>
      </c>
      <c r="C796" s="382" t="s">
        <v>739</v>
      </c>
      <c r="D796" s="383" t="str">
        <f t="shared" si="107"/>
        <v>FDE - 07/2023</v>
      </c>
      <c r="E796" s="344" t="s">
        <v>768</v>
      </c>
      <c r="F796" s="382" t="s">
        <v>431</v>
      </c>
      <c r="G796" s="316">
        <v>10</v>
      </c>
      <c r="H796" s="530">
        <f>VLOOKUP(C796,COMPOSIÇÕES!A:J,6,FALSE)</f>
        <v>32.35146443514644</v>
      </c>
      <c r="I796" s="287">
        <f>COMPOSIÇÕES!$J$83</f>
        <v>38.659999999999997</v>
      </c>
      <c r="J796" s="384">
        <f t="shared" si="106"/>
        <v>386.59999999999997</v>
      </c>
    </row>
    <row r="797" spans="1:10" s="276" customFormat="1">
      <c r="A797" s="263"/>
      <c r="B797" s="381" t="s">
        <v>1767</v>
      </c>
      <c r="C797" s="382" t="s">
        <v>819</v>
      </c>
      <c r="D797" s="383" t="str">
        <f>COMPOSIÇÕES!B136</f>
        <v>FDE - 07/2023</v>
      </c>
      <c r="E797" s="344" t="s">
        <v>822</v>
      </c>
      <c r="F797" s="382" t="s">
        <v>431</v>
      </c>
      <c r="G797" s="316">
        <v>2</v>
      </c>
      <c r="H797" s="530">
        <f>COMPOSIÇÕES!F140</f>
        <v>68.63</v>
      </c>
      <c r="I797" s="287">
        <f>COMPOSIÇÕES!$J$140</f>
        <v>82.01285</v>
      </c>
      <c r="J797" s="384">
        <f t="shared" si="106"/>
        <v>164.0257</v>
      </c>
    </row>
    <row r="798" spans="1:10" s="276" customFormat="1">
      <c r="A798" s="263"/>
      <c r="B798" s="381" t="s">
        <v>1768</v>
      </c>
      <c r="C798" s="382" t="s">
        <v>819</v>
      </c>
      <c r="D798" s="383" t="str">
        <f>$D$797</f>
        <v>FDE - 07/2023</v>
      </c>
      <c r="E798" s="344" t="s">
        <v>823</v>
      </c>
      <c r="F798" s="382" t="s">
        <v>431</v>
      </c>
      <c r="G798" s="316">
        <v>1</v>
      </c>
      <c r="H798" s="530">
        <f>COMPOSIÇÕES!F140</f>
        <v>68.63</v>
      </c>
      <c r="I798" s="287">
        <f>COMPOSIÇÕES!$J$140</f>
        <v>82.01285</v>
      </c>
      <c r="J798" s="384">
        <f t="shared" si="106"/>
        <v>82.01285</v>
      </c>
    </row>
    <row r="799" spans="1:10" s="276" customFormat="1">
      <c r="A799" s="263"/>
      <c r="B799" s="381" t="s">
        <v>1769</v>
      </c>
      <c r="C799" s="382" t="s">
        <v>738</v>
      </c>
      <c r="D799" s="383" t="str">
        <f>COMPOSIÇÕES!B84</f>
        <v>FDE - 07/2023</v>
      </c>
      <c r="E799" s="344" t="s">
        <v>769</v>
      </c>
      <c r="F799" s="382" t="s">
        <v>431</v>
      </c>
      <c r="G799" s="316">
        <v>10</v>
      </c>
      <c r="H799" s="530">
        <f>VLOOKUP(C799,COMPOSIÇÕES!A:J,6,FALSE)</f>
        <v>37.087866108786606</v>
      </c>
      <c r="I799" s="287">
        <f>COMPOSIÇÕES!$J$84</f>
        <v>44.319999999999993</v>
      </c>
      <c r="J799" s="384">
        <f t="shared" si="106"/>
        <v>443.19999999999993</v>
      </c>
    </row>
    <row r="800" spans="1:10" s="276" customFormat="1" ht="43.2">
      <c r="A800" s="263"/>
      <c r="B800" s="381" t="s">
        <v>1770</v>
      </c>
      <c r="C800" s="382" t="s">
        <v>711</v>
      </c>
      <c r="D800" s="383" t="str">
        <f>COMPOSIÇÕES!B85</f>
        <v>FDE - 07/2023 + SINAPI SP - 08/2023</v>
      </c>
      <c r="E800" s="344" t="s">
        <v>737</v>
      </c>
      <c r="F800" s="382" t="s">
        <v>431</v>
      </c>
      <c r="G800" s="316">
        <v>2</v>
      </c>
      <c r="H800" s="290">
        <f>SUM(COMPOSIÇÕES!G86:G88)</f>
        <v>187.64000000000001</v>
      </c>
      <c r="I800" s="287">
        <f>COMPOSIÇÕES!$J$85</f>
        <v>224.22980000000001</v>
      </c>
      <c r="J800" s="384">
        <f t="shared" si="106"/>
        <v>448.45960000000002</v>
      </c>
    </row>
    <row r="801" spans="1:10" s="276" customFormat="1">
      <c r="A801" s="263"/>
      <c r="B801" s="381" t="s">
        <v>1771</v>
      </c>
      <c r="C801" s="382" t="s">
        <v>735</v>
      </c>
      <c r="D801" s="383" t="str">
        <f>COMPOSIÇÕES!B89</f>
        <v>FDE - 07/2023</v>
      </c>
      <c r="E801" s="344" t="s">
        <v>736</v>
      </c>
      <c r="F801" s="382" t="s">
        <v>431</v>
      </c>
      <c r="G801" s="316">
        <v>150</v>
      </c>
      <c r="H801" s="530">
        <f>VLOOKUP(C801,COMPOSIÇÕES!A:J,6,FALSE)</f>
        <v>7.8158995815899575</v>
      </c>
      <c r="I801" s="287">
        <f>COMPOSIÇÕES!$J$89</f>
        <v>9.34</v>
      </c>
      <c r="J801" s="384">
        <f t="shared" si="106"/>
        <v>1401</v>
      </c>
    </row>
    <row r="802" spans="1:10" s="276" customFormat="1" ht="28.8">
      <c r="A802" s="263"/>
      <c r="B802" s="381" t="s">
        <v>1772</v>
      </c>
      <c r="C802" s="382" t="str">
        <f>COMPOSIÇÕES!A91</f>
        <v>38.21.920</v>
      </c>
      <c r="D802" s="383" t="str">
        <f>COMPOSIÇÕES!B91</f>
        <v>CDHU - BOLETIM 191</v>
      </c>
      <c r="E802" s="388" t="str">
        <f>COMPOSIÇÕES!C91</f>
        <v>Eletrocalha perfurada galvanizada a fogo, 100 x 50 mm, com acessórios</v>
      </c>
      <c r="F802" s="382" t="s">
        <v>412</v>
      </c>
      <c r="G802" s="316">
        <f>28*3</f>
        <v>84</v>
      </c>
      <c r="H802" s="530">
        <f>VLOOKUP(C802,COMPOSIÇÕES!A:J,6,FALSE)</f>
        <v>98.38</v>
      </c>
      <c r="I802" s="287">
        <f>COMPOSIÇÕES!$J$91</f>
        <v>117.5641</v>
      </c>
      <c r="J802" s="384">
        <f t="shared" si="106"/>
        <v>9875.384399999999</v>
      </c>
    </row>
    <row r="803" spans="1:10" s="276" customFormat="1" ht="28.8">
      <c r="A803" s="263"/>
      <c r="B803" s="381" t="s">
        <v>1773</v>
      </c>
      <c r="C803" s="382" t="str">
        <f>COMPOSIÇÕES!A92</f>
        <v>38.06.040</v>
      </c>
      <c r="D803" s="383" t="str">
        <f>COMPOSIÇÕES!B92</f>
        <v>CDHU - BOLETIM 191</v>
      </c>
      <c r="E803" s="388" t="str">
        <f>COMPOSIÇÕES!C92</f>
        <v>Eletroduto galvanizado a quente conforme NBR5598 ‐ 3/4´ com acessórios</v>
      </c>
      <c r="F803" s="382" t="s">
        <v>412</v>
      </c>
      <c r="G803" s="316">
        <f>45*3</f>
        <v>135</v>
      </c>
      <c r="H803" s="530">
        <f>VLOOKUP(C803,COMPOSIÇÕES!A:J,6,FALSE)</f>
        <v>60.65</v>
      </c>
      <c r="I803" s="287">
        <f>COMPOSIÇÕES!$J$92</f>
        <v>72.476749999999996</v>
      </c>
      <c r="J803" s="384">
        <f t="shared" si="106"/>
        <v>9784.3612499999999</v>
      </c>
    </row>
    <row r="804" spans="1:10" s="276" customFormat="1" ht="28.8">
      <c r="A804" s="263"/>
      <c r="B804" s="381" t="s">
        <v>1774</v>
      </c>
      <c r="C804" s="382" t="str">
        <f>COMPOSIÇÕES!A93</f>
        <v>38.06.060</v>
      </c>
      <c r="D804" s="383" t="str">
        <f>COMPOSIÇÕES!B93</f>
        <v>CDHU - BOLETIM 191</v>
      </c>
      <c r="E804" s="479" t="str">
        <f>COMPOSIÇÕES!C93</f>
        <v>Eletroduto galvanizado a quente conforme NBR5598 ‐ 1´ com acessórios</v>
      </c>
      <c r="F804" s="382" t="s">
        <v>412</v>
      </c>
      <c r="G804" s="316">
        <f>15*3</f>
        <v>45</v>
      </c>
      <c r="H804" s="530">
        <f>VLOOKUP(C804,COMPOSIÇÕES!A:J,6,FALSE)</f>
        <v>75.38</v>
      </c>
      <c r="I804" s="287">
        <f>COMPOSIÇÕES!$J$93</f>
        <v>90.079099999999997</v>
      </c>
      <c r="J804" s="384">
        <f t="shared" si="106"/>
        <v>4053.5594999999998</v>
      </c>
    </row>
    <row r="805" spans="1:10" s="276" customFormat="1" ht="28.8">
      <c r="A805" s="263"/>
      <c r="B805" s="381" t="s">
        <v>1775</v>
      </c>
      <c r="C805" s="383" t="str">
        <f>COMPOSIÇÕES!A94</f>
        <v>38.06.180</v>
      </c>
      <c r="D805" s="383" t="str">
        <f>COMPOSIÇÕES!B94</f>
        <v>CDHU - BOLETIM 191</v>
      </c>
      <c r="E805" s="388" t="str">
        <f>COMPOSIÇÕES!C94</f>
        <v>Eletroduto galvanizado a quente conforme NBR5598 ‐ 4´ com acessórios</v>
      </c>
      <c r="F805" s="382" t="s">
        <v>412</v>
      </c>
      <c r="G805" s="316">
        <f>3*3</f>
        <v>9</v>
      </c>
      <c r="H805" s="530">
        <f>VLOOKUP(C805,COMPOSIÇÕES!A:J,6,FALSE)</f>
        <v>305.01</v>
      </c>
      <c r="I805" s="287">
        <f>COMPOSIÇÕES!$J$94</f>
        <v>364.48694999999998</v>
      </c>
      <c r="J805" s="384">
        <f t="shared" si="106"/>
        <v>3280.3825499999998</v>
      </c>
    </row>
    <row r="806" spans="1:10" s="276" customFormat="1">
      <c r="A806" s="263"/>
      <c r="B806" s="381" t="s">
        <v>1776</v>
      </c>
      <c r="C806" s="383" t="str">
        <f>COMPOSIÇÕES!A95</f>
        <v>09.82.095</v>
      </c>
      <c r="D806" s="383" t="str">
        <f>COMPOSIÇÕES!B95</f>
        <v>FDE - 07/2023</v>
      </c>
      <c r="E806" s="344" t="s">
        <v>730</v>
      </c>
      <c r="F806" s="382" t="s">
        <v>412</v>
      </c>
      <c r="G806" s="316">
        <v>1</v>
      </c>
      <c r="H806" s="530">
        <f>VLOOKUP(C806,COMPOSIÇÕES!A:J,6,FALSE)</f>
        <v>50.77</v>
      </c>
      <c r="I806" s="287">
        <f>COMPOSIÇÕES!$J$95</f>
        <v>60.670150000000007</v>
      </c>
      <c r="J806" s="384">
        <f t="shared" ref="J806:J819" si="108">G806*I806</f>
        <v>60.670150000000007</v>
      </c>
    </row>
    <row r="807" spans="1:10" s="276" customFormat="1" ht="28.8">
      <c r="A807" s="263"/>
      <c r="B807" s="381" t="s">
        <v>1777</v>
      </c>
      <c r="C807" s="382">
        <v>91927</v>
      </c>
      <c r="D807" s="383" t="str">
        <f>COMPOSIÇÕES!B96</f>
        <v>SINAPI SP - 08/2023</v>
      </c>
      <c r="E807" s="344" t="s">
        <v>770</v>
      </c>
      <c r="F807" s="382" t="s">
        <v>412</v>
      </c>
      <c r="G807" s="316">
        <v>675</v>
      </c>
      <c r="H807" s="530">
        <f>VLOOKUP(C807,COMPOSIÇÕES!A:J,6,FALSE)</f>
        <v>4.8</v>
      </c>
      <c r="I807" s="287">
        <f>COMPOSIÇÕES!$J$96</f>
        <v>5.7359999999999998</v>
      </c>
      <c r="J807" s="384">
        <f t="shared" si="108"/>
        <v>3871.7999999999997</v>
      </c>
    </row>
    <row r="808" spans="1:10" s="276" customFormat="1" ht="28.8">
      <c r="A808" s="263"/>
      <c r="B808" s="381" t="s">
        <v>1778</v>
      </c>
      <c r="C808" s="382">
        <v>91927</v>
      </c>
      <c r="D808" s="383" t="str">
        <f t="shared" ref="D808:D810" si="109">$D$807</f>
        <v>SINAPI SP - 08/2023</v>
      </c>
      <c r="E808" s="344" t="s">
        <v>771</v>
      </c>
      <c r="F808" s="382" t="s">
        <v>412</v>
      </c>
      <c r="G808" s="316">
        <v>675</v>
      </c>
      <c r="H808" s="530">
        <f>VLOOKUP(C808,COMPOSIÇÕES!A:J,6,FALSE)</f>
        <v>4.8</v>
      </c>
      <c r="I808" s="287">
        <f>COMPOSIÇÕES!$J$96</f>
        <v>5.7359999999999998</v>
      </c>
      <c r="J808" s="384">
        <f t="shared" si="108"/>
        <v>3871.7999999999997</v>
      </c>
    </row>
    <row r="809" spans="1:10" s="276" customFormat="1" ht="28.8">
      <c r="A809" s="263"/>
      <c r="B809" s="381" t="s">
        <v>1779</v>
      </c>
      <c r="C809" s="382">
        <v>91927</v>
      </c>
      <c r="D809" s="383" t="str">
        <f t="shared" si="109"/>
        <v>SINAPI SP - 08/2023</v>
      </c>
      <c r="E809" s="344" t="s">
        <v>772</v>
      </c>
      <c r="F809" s="382" t="s">
        <v>412</v>
      </c>
      <c r="G809" s="316">
        <v>675</v>
      </c>
      <c r="H809" s="530">
        <f>VLOOKUP(C809,COMPOSIÇÕES!A:J,6,FALSE)</f>
        <v>4.8</v>
      </c>
      <c r="I809" s="287">
        <f>COMPOSIÇÕES!$J$96</f>
        <v>5.7359999999999998</v>
      </c>
      <c r="J809" s="384">
        <f t="shared" si="108"/>
        <v>3871.7999999999997</v>
      </c>
    </row>
    <row r="810" spans="1:10" s="276" customFormat="1" ht="28.8">
      <c r="A810" s="263"/>
      <c r="B810" s="381" t="s">
        <v>1780</v>
      </c>
      <c r="C810" s="382">
        <v>91927</v>
      </c>
      <c r="D810" s="383" t="str">
        <f t="shared" si="109"/>
        <v>SINAPI SP - 08/2023</v>
      </c>
      <c r="E810" s="344" t="s">
        <v>773</v>
      </c>
      <c r="F810" s="382" t="s">
        <v>412</v>
      </c>
      <c r="G810" s="316">
        <v>200</v>
      </c>
      <c r="H810" s="530">
        <f>VLOOKUP(C810,COMPOSIÇÕES!A:J,6,FALSE)</f>
        <v>4.8</v>
      </c>
      <c r="I810" s="287">
        <f>COMPOSIÇÕES!$J$96</f>
        <v>5.7359999999999998</v>
      </c>
      <c r="J810" s="384">
        <f t="shared" si="108"/>
        <v>1147.2</v>
      </c>
    </row>
    <row r="811" spans="1:10" s="276" customFormat="1" ht="28.8">
      <c r="A811" s="263"/>
      <c r="B811" s="381" t="s">
        <v>1781</v>
      </c>
      <c r="C811" s="382">
        <v>91929</v>
      </c>
      <c r="D811" s="383" t="str">
        <f>COMPOSIÇÕES!B97</f>
        <v>SINAPI SP - 08/2023</v>
      </c>
      <c r="E811" s="344" t="s">
        <v>869</v>
      </c>
      <c r="F811" s="382" t="s">
        <v>412</v>
      </c>
      <c r="G811" s="316">
        <v>150</v>
      </c>
      <c r="H811" s="530">
        <f>VLOOKUP(C811,COMPOSIÇÕES!A:J,6,FALSE)</f>
        <v>6.92</v>
      </c>
      <c r="I811" s="287">
        <f>COMPOSIÇÕES!$J$97</f>
        <v>8.2693999999999992</v>
      </c>
      <c r="J811" s="384">
        <f t="shared" si="108"/>
        <v>1240.4099999999999</v>
      </c>
    </row>
    <row r="812" spans="1:10" s="276" customFormat="1" ht="28.8">
      <c r="A812" s="263"/>
      <c r="B812" s="381" t="s">
        <v>1782</v>
      </c>
      <c r="C812" s="382">
        <v>92984</v>
      </c>
      <c r="D812" s="383" t="str">
        <f>COMPOSIÇÕES!B98</f>
        <v>SINAPI SP - 08/2023</v>
      </c>
      <c r="E812" s="344" t="s">
        <v>777</v>
      </c>
      <c r="F812" s="382" t="s">
        <v>412</v>
      </c>
      <c r="G812" s="316">
        <v>7</v>
      </c>
      <c r="H812" s="530">
        <f>VLOOKUP(C812,COMPOSIÇÕES!A:J,6,FALSE)</f>
        <v>23.65</v>
      </c>
      <c r="I812" s="287">
        <f>COMPOSIÇÕES!$J$98</f>
        <v>28.261749999999999</v>
      </c>
      <c r="J812" s="384">
        <f t="shared" si="108"/>
        <v>197.83224999999999</v>
      </c>
    </row>
    <row r="813" spans="1:10" s="276" customFormat="1" ht="28.8">
      <c r="A813" s="263"/>
      <c r="B813" s="381" t="s">
        <v>1783</v>
      </c>
      <c r="C813" s="382">
        <v>92988</v>
      </c>
      <c r="D813" s="383" t="str">
        <f>COMPOSIÇÕES!B99</f>
        <v>SINAPI SP - 08/2023</v>
      </c>
      <c r="E813" s="344" t="s">
        <v>778</v>
      </c>
      <c r="F813" s="382" t="s">
        <v>412</v>
      </c>
      <c r="G813" s="316">
        <v>7</v>
      </c>
      <c r="H813" s="530">
        <f>VLOOKUP(C813,COMPOSIÇÕES!A:J,6,FALSE)</f>
        <v>46.05</v>
      </c>
      <c r="I813" s="287">
        <f>COMPOSIÇÕES!$J$99</f>
        <v>55.029749999999993</v>
      </c>
      <c r="J813" s="384">
        <f t="shared" si="108"/>
        <v>385.20824999999996</v>
      </c>
    </row>
    <row r="814" spans="1:10" s="276" customFormat="1" ht="28.8">
      <c r="A814" s="263"/>
      <c r="B814" s="381" t="s">
        <v>1784</v>
      </c>
      <c r="C814" s="382">
        <v>92988</v>
      </c>
      <c r="D814" s="383" t="str">
        <f t="shared" ref="D814:D816" si="110">$D$813</f>
        <v>SINAPI SP - 08/2023</v>
      </c>
      <c r="E814" s="344" t="s">
        <v>779</v>
      </c>
      <c r="F814" s="382" t="s">
        <v>412</v>
      </c>
      <c r="G814" s="316">
        <v>7</v>
      </c>
      <c r="H814" s="530">
        <f>VLOOKUP(C814,COMPOSIÇÕES!A:J,6,FALSE)</f>
        <v>46.05</v>
      </c>
      <c r="I814" s="287">
        <f>COMPOSIÇÕES!$J$99</f>
        <v>55.029749999999993</v>
      </c>
      <c r="J814" s="384">
        <f t="shared" si="108"/>
        <v>385.20824999999996</v>
      </c>
    </row>
    <row r="815" spans="1:10" s="276" customFormat="1" ht="28.8">
      <c r="A815" s="263"/>
      <c r="B815" s="381" t="s">
        <v>1785</v>
      </c>
      <c r="C815" s="382">
        <v>92988</v>
      </c>
      <c r="D815" s="383" t="str">
        <f t="shared" si="110"/>
        <v>SINAPI SP - 08/2023</v>
      </c>
      <c r="E815" s="344" t="s">
        <v>780</v>
      </c>
      <c r="F815" s="382" t="s">
        <v>412</v>
      </c>
      <c r="G815" s="316">
        <v>7</v>
      </c>
      <c r="H815" s="530">
        <f>VLOOKUP(C815,COMPOSIÇÕES!A:J,6,FALSE)</f>
        <v>46.05</v>
      </c>
      <c r="I815" s="287">
        <f>COMPOSIÇÕES!$J$99</f>
        <v>55.029749999999993</v>
      </c>
      <c r="J815" s="384">
        <f t="shared" si="108"/>
        <v>385.20824999999996</v>
      </c>
    </row>
    <row r="816" spans="1:10" s="276" customFormat="1" ht="28.8">
      <c r="A816" s="263"/>
      <c r="B816" s="381" t="s">
        <v>1786</v>
      </c>
      <c r="C816" s="382">
        <v>92988</v>
      </c>
      <c r="D816" s="383" t="str">
        <f t="shared" si="110"/>
        <v>SINAPI SP - 08/2023</v>
      </c>
      <c r="E816" s="344" t="s">
        <v>847</v>
      </c>
      <c r="F816" s="382" t="s">
        <v>412</v>
      </c>
      <c r="G816" s="316">
        <v>7</v>
      </c>
      <c r="H816" s="530">
        <f>VLOOKUP(C816,COMPOSIÇÕES!A:J,6,FALSE)</f>
        <v>46.05</v>
      </c>
      <c r="I816" s="287">
        <f>COMPOSIÇÕES!$J$99</f>
        <v>55.029749999999993</v>
      </c>
      <c r="J816" s="384">
        <f t="shared" si="108"/>
        <v>385.20824999999996</v>
      </c>
    </row>
    <row r="817" spans="1:10" s="276" customFormat="1" ht="28.8">
      <c r="A817" s="263"/>
      <c r="B817" s="381" t="s">
        <v>1787</v>
      </c>
      <c r="C817" s="382">
        <v>92990</v>
      </c>
      <c r="D817" s="383" t="str">
        <f>COMPOSIÇÕES!B165</f>
        <v>SINAPI SP - 08/2023</v>
      </c>
      <c r="E817" s="344" t="s">
        <v>858</v>
      </c>
      <c r="F817" s="382" t="s">
        <v>412</v>
      </c>
      <c r="G817" s="316">
        <v>35</v>
      </c>
      <c r="H817" s="530">
        <f>VLOOKUP(C817,COMPOSIÇÕES!A:J,6,FALSE)</f>
        <v>63.26</v>
      </c>
      <c r="I817" s="287">
        <f>COMPOSIÇÕES!$J$165</f>
        <v>75.595699999999994</v>
      </c>
      <c r="J817" s="384">
        <f t="shared" si="108"/>
        <v>2645.8494999999998</v>
      </c>
    </row>
    <row r="818" spans="1:10" s="276" customFormat="1" ht="28.8">
      <c r="A818" s="263"/>
      <c r="B818" s="381" t="s">
        <v>1788</v>
      </c>
      <c r="C818" s="382">
        <v>92994</v>
      </c>
      <c r="D818" s="383" t="str">
        <f>COMPOSIÇÕES!B143</f>
        <v>SINAPI SP - 08/2023</v>
      </c>
      <c r="E818" s="344" t="s">
        <v>837</v>
      </c>
      <c r="F818" s="382" t="s">
        <v>412</v>
      </c>
      <c r="G818" s="316">
        <v>35</v>
      </c>
      <c r="H818" s="530">
        <f>VLOOKUP(C818,COMPOSIÇÕES!A:J,6,FALSE)</f>
        <v>105.42</v>
      </c>
      <c r="I818" s="287">
        <f>COMPOSIÇÕES!$J$143</f>
        <v>125.9769</v>
      </c>
      <c r="J818" s="384">
        <f t="shared" si="108"/>
        <v>4409.1914999999999</v>
      </c>
    </row>
    <row r="819" spans="1:10" s="276" customFormat="1" ht="28.8">
      <c r="A819" s="263"/>
      <c r="B819" s="381" t="s">
        <v>1789</v>
      </c>
      <c r="C819" s="382">
        <v>92994</v>
      </c>
      <c r="D819" s="383" t="str">
        <f t="shared" ref="D819:D821" si="111">$D$818</f>
        <v>SINAPI SP - 08/2023</v>
      </c>
      <c r="E819" s="344" t="s">
        <v>838</v>
      </c>
      <c r="F819" s="382" t="s">
        <v>412</v>
      </c>
      <c r="G819" s="316">
        <v>35</v>
      </c>
      <c r="H819" s="530">
        <f>VLOOKUP(C819,COMPOSIÇÕES!A:J,6,FALSE)</f>
        <v>105.42</v>
      </c>
      <c r="I819" s="287">
        <f>COMPOSIÇÕES!$J$143</f>
        <v>125.9769</v>
      </c>
      <c r="J819" s="384">
        <f t="shared" si="108"/>
        <v>4409.1914999999999</v>
      </c>
    </row>
    <row r="820" spans="1:10" s="276" customFormat="1" ht="28.8">
      <c r="A820" s="263"/>
      <c r="B820" s="381" t="s">
        <v>1790</v>
      </c>
      <c r="C820" s="382">
        <v>92994</v>
      </c>
      <c r="D820" s="383" t="str">
        <f t="shared" si="111"/>
        <v>SINAPI SP - 08/2023</v>
      </c>
      <c r="E820" s="344" t="s">
        <v>839</v>
      </c>
      <c r="F820" s="382" t="s">
        <v>412</v>
      </c>
      <c r="G820" s="316">
        <v>35</v>
      </c>
      <c r="H820" s="530">
        <f>VLOOKUP(C820,COMPOSIÇÕES!A:J,6,FALSE)</f>
        <v>105.42</v>
      </c>
      <c r="I820" s="287">
        <f>COMPOSIÇÕES!$J$143</f>
        <v>125.9769</v>
      </c>
      <c r="J820" s="384">
        <f t="shared" ref="J820:J826" si="112">G820*I820</f>
        <v>4409.1914999999999</v>
      </c>
    </row>
    <row r="821" spans="1:10" s="276" customFormat="1" ht="28.8">
      <c r="A821" s="263"/>
      <c r="B821" s="381" t="s">
        <v>1791</v>
      </c>
      <c r="C821" s="382">
        <v>92994</v>
      </c>
      <c r="D821" s="383" t="str">
        <f t="shared" si="111"/>
        <v>SINAPI SP - 08/2023</v>
      </c>
      <c r="E821" s="344" t="s">
        <v>840</v>
      </c>
      <c r="F821" s="382" t="s">
        <v>412</v>
      </c>
      <c r="G821" s="316">
        <v>35</v>
      </c>
      <c r="H821" s="530">
        <f>VLOOKUP(C821,COMPOSIÇÕES!A:J,6,FALSE)</f>
        <v>105.42</v>
      </c>
      <c r="I821" s="287">
        <f>COMPOSIÇÕES!$J$143</f>
        <v>125.9769</v>
      </c>
      <c r="J821" s="384">
        <f t="shared" si="112"/>
        <v>4409.1914999999999</v>
      </c>
    </row>
    <row r="822" spans="1:10" s="276" customFormat="1">
      <c r="A822" s="263"/>
      <c r="B822" s="381" t="s">
        <v>1792</v>
      </c>
      <c r="C822" s="383" t="str">
        <f>COMPOSIÇÕES!A103</f>
        <v>09.82.027</v>
      </c>
      <c r="D822" s="383" t="str">
        <f>COMPOSIÇÕES!B103</f>
        <v>FDE - 07/2023</v>
      </c>
      <c r="E822" s="344" t="s">
        <v>732</v>
      </c>
      <c r="F822" s="382" t="s">
        <v>431</v>
      </c>
      <c r="G822" s="316">
        <v>4</v>
      </c>
      <c r="H822" s="530">
        <f>VLOOKUP(C822,COMPOSIÇÕES!A:J,6,FALSE)</f>
        <v>22.98</v>
      </c>
      <c r="I822" s="287">
        <f>COMPOSIÇÕES!$J$103</f>
        <v>27.461100000000002</v>
      </c>
      <c r="J822" s="384">
        <f t="shared" si="112"/>
        <v>109.84440000000001</v>
      </c>
    </row>
    <row r="823" spans="1:10" s="276" customFormat="1">
      <c r="A823" s="263"/>
      <c r="B823" s="381" t="s">
        <v>1793</v>
      </c>
      <c r="C823" s="383" t="str">
        <f>COMPOSIÇÕES!A104</f>
        <v>09.82.029</v>
      </c>
      <c r="D823" s="383" t="str">
        <f>COMPOSIÇÕES!B104</f>
        <v>FDE - 07/2023</v>
      </c>
      <c r="E823" s="344" t="s">
        <v>731</v>
      </c>
      <c r="F823" s="382" t="s">
        <v>431</v>
      </c>
      <c r="G823" s="316">
        <v>8</v>
      </c>
      <c r="H823" s="530">
        <f>VLOOKUP(C823,COMPOSIÇÕES!A:J,6,FALSE)</f>
        <v>34.06</v>
      </c>
      <c r="I823" s="287">
        <f>COMPOSIÇÕES!$J$104</f>
        <v>40.701700000000002</v>
      </c>
      <c r="J823" s="384">
        <f t="shared" si="112"/>
        <v>325.61360000000002</v>
      </c>
    </row>
    <row r="824" spans="1:10" s="276" customFormat="1">
      <c r="A824" s="263"/>
      <c r="B824" s="381" t="s">
        <v>1794</v>
      </c>
      <c r="C824" s="383" t="str">
        <f>COMPOSIÇÕES!A166</f>
        <v>09.82.032</v>
      </c>
      <c r="D824" s="383" t="str">
        <f>COMPOSIÇÕES!B166</f>
        <v>FDE - 07/2023</v>
      </c>
      <c r="E824" s="344" t="s">
        <v>872</v>
      </c>
      <c r="F824" s="382" t="s">
        <v>431</v>
      </c>
      <c r="G824" s="316">
        <v>4</v>
      </c>
      <c r="H824" s="530">
        <f>VLOOKUP(C824,COMPOSIÇÕES!A:J,6,FALSE)</f>
        <v>56.55</v>
      </c>
      <c r="I824" s="287">
        <f>COMPOSIÇÕES!$J$166</f>
        <v>56.547400000000003</v>
      </c>
      <c r="J824" s="384">
        <f t="shared" si="112"/>
        <v>226.18960000000001</v>
      </c>
    </row>
    <row r="825" spans="1:10" s="276" customFormat="1">
      <c r="A825" s="263"/>
      <c r="B825" s="381" t="s">
        <v>1795</v>
      </c>
      <c r="C825" s="383" t="str">
        <f>COMPOSIÇÕES!A145</f>
        <v>09.82.032</v>
      </c>
      <c r="D825" s="383" t="str">
        <f>COMPOSIÇÕES!B145</f>
        <v>FDE - 07/2023</v>
      </c>
      <c r="E825" s="344" t="s">
        <v>870</v>
      </c>
      <c r="F825" s="382" t="s">
        <v>431</v>
      </c>
      <c r="G825" s="316">
        <v>8</v>
      </c>
      <c r="H825" s="530">
        <f>VLOOKUP(C825,COMPOSIÇÕES!A:J,6,FALSE)</f>
        <v>56.55</v>
      </c>
      <c r="I825" s="287">
        <f>COMPOSIÇÕES!$J$145</f>
        <v>67.577249999999992</v>
      </c>
      <c r="J825" s="384">
        <f t="shared" si="112"/>
        <v>540.61799999999994</v>
      </c>
    </row>
    <row r="826" spans="1:10" s="263" customFormat="1" ht="72">
      <c r="B826" s="381" t="s">
        <v>1796</v>
      </c>
      <c r="C826" s="275" t="s">
        <v>711</v>
      </c>
      <c r="D826" s="277" t="str">
        <f>COMPOSIÇÕES!B253</f>
        <v>CDHU - BOLETIM 191 + FDE - 07/2023 + SINAPI SP - 08/2023</v>
      </c>
      <c r="E826" s="278" t="s">
        <v>1028</v>
      </c>
      <c r="F826" s="275" t="s">
        <v>530</v>
      </c>
      <c r="G826" s="313">
        <v>1</v>
      </c>
      <c r="H826" s="301">
        <f>SUM(COMPOSIÇÕES!G254:G260)</f>
        <v>9453.8380384937227</v>
      </c>
      <c r="I826" s="286">
        <f>COMPOSIÇÕES!$J$253</f>
        <v>11297.336455999999</v>
      </c>
      <c r="J826" s="295">
        <f t="shared" si="112"/>
        <v>11297.336455999999</v>
      </c>
    </row>
    <row r="827" spans="1:10" s="263" customFormat="1">
      <c r="B827" s="577" t="s">
        <v>1860</v>
      </c>
      <c r="C827" s="578"/>
      <c r="D827" s="578"/>
      <c r="E827" s="578"/>
      <c r="F827" s="578"/>
      <c r="G827" s="578"/>
      <c r="H827" s="578"/>
      <c r="I827" s="578"/>
      <c r="J827" s="296">
        <f>SUM(J791:J826)</f>
        <v>85483.58969835774</v>
      </c>
    </row>
    <row r="828" spans="1:10" s="263" customFormat="1">
      <c r="B828" s="237" t="s">
        <v>1764</v>
      </c>
      <c r="C828" s="238"/>
      <c r="D828" s="533"/>
      <c r="E828" s="239" t="s">
        <v>650</v>
      </c>
      <c r="F828" s="238"/>
      <c r="G828" s="312"/>
      <c r="H828" s="300"/>
      <c r="I828" s="285"/>
      <c r="J828" s="294"/>
    </row>
    <row r="829" spans="1:10" s="276" customFormat="1">
      <c r="A829" s="263"/>
      <c r="B829" s="381" t="s">
        <v>1764</v>
      </c>
      <c r="C829" s="382" t="s">
        <v>708</v>
      </c>
      <c r="D829" s="383" t="str">
        <f>COMPOSIÇÕES!B115</f>
        <v>FDE - 07/2023</v>
      </c>
      <c r="E829" s="344" t="s">
        <v>651</v>
      </c>
      <c r="F829" s="382" t="s">
        <v>541</v>
      </c>
      <c r="G829" s="316">
        <v>100</v>
      </c>
      <c r="H829" s="290">
        <f>COMPOSIÇÕES!$G$116</f>
        <v>5.116260162601626</v>
      </c>
      <c r="I829" s="287">
        <f>COMPOSIÇÕES!$J$115</f>
        <v>6.1139308943089432</v>
      </c>
      <c r="J829" s="384">
        <f>G829*I829</f>
        <v>611.39308943089429</v>
      </c>
    </row>
    <row r="830" spans="1:10" s="263" customFormat="1">
      <c r="B830" s="577" t="s">
        <v>1861</v>
      </c>
      <c r="C830" s="578"/>
      <c r="D830" s="578"/>
      <c r="E830" s="578"/>
      <c r="F830" s="578"/>
      <c r="G830" s="578"/>
      <c r="H830" s="578"/>
      <c r="I830" s="578"/>
      <c r="J830" s="296">
        <f>J829</f>
        <v>611.39308943089429</v>
      </c>
    </row>
    <row r="831" spans="1:10" s="263" customFormat="1" ht="25.5" customHeight="1" thickBot="1">
      <c r="B831" s="564" t="s">
        <v>659</v>
      </c>
      <c r="C831" s="565"/>
      <c r="D831" s="565"/>
      <c r="E831" s="565"/>
      <c r="F831" s="565"/>
      <c r="G831" s="565"/>
      <c r="H831" s="565"/>
      <c r="I831" s="566"/>
      <c r="J831" s="297">
        <f>J767+J789+J827+J830</f>
        <v>181590.30238232741</v>
      </c>
    </row>
    <row r="832" spans="1:10" s="147" customFormat="1">
      <c r="B832" s="264" t="s">
        <v>1797</v>
      </c>
      <c r="C832" s="265"/>
      <c r="D832" s="534"/>
      <c r="E832" s="266" t="s">
        <v>1029</v>
      </c>
      <c r="F832" s="265"/>
      <c r="G832" s="310"/>
      <c r="H832" s="298"/>
      <c r="I832" s="283"/>
      <c r="J832" s="292"/>
    </row>
    <row r="833" spans="1:10" s="147" customFormat="1" ht="6" customHeight="1">
      <c r="B833" s="234"/>
      <c r="C833" s="235"/>
      <c r="D833" s="532"/>
      <c r="E833" s="236"/>
      <c r="F833" s="235"/>
      <c r="G833" s="311"/>
      <c r="H833" s="299"/>
      <c r="I833" s="284"/>
      <c r="J833" s="293"/>
    </row>
    <row r="834" spans="1:10" s="261" customFormat="1">
      <c r="B834" s="237" t="s">
        <v>1798</v>
      </c>
      <c r="C834" s="238"/>
      <c r="D834" s="533"/>
      <c r="E834" s="239" t="s">
        <v>483</v>
      </c>
      <c r="F834" s="238"/>
      <c r="G834" s="312"/>
      <c r="H834" s="300"/>
      <c r="I834" s="285"/>
      <c r="J834" s="294"/>
    </row>
    <row r="835" spans="1:10" s="150" customFormat="1">
      <c r="B835" s="381" t="s">
        <v>1799</v>
      </c>
      <c r="C835" s="382" t="str">
        <f t="shared" ref="C835:I836" si="113">C765</f>
        <v>16.06.076</v>
      </c>
      <c r="D835" s="383" t="str">
        <f t="shared" si="113"/>
        <v>FDE - 07/2023</v>
      </c>
      <c r="E835" s="344" t="str">
        <f t="shared" si="113"/>
        <v>FORNECIMENTO E INSTALAÇAO DE PLACAS DE OBRA</v>
      </c>
      <c r="F835" s="382" t="str">
        <f t="shared" si="113"/>
        <v>M²</v>
      </c>
      <c r="G835" s="316">
        <f t="shared" si="113"/>
        <v>5</v>
      </c>
      <c r="H835" s="290">
        <f t="shared" si="113"/>
        <v>407.8057</v>
      </c>
      <c r="I835" s="287">
        <f t="shared" si="113"/>
        <v>487.3278115</v>
      </c>
      <c r="J835" s="384">
        <f>G835*I835</f>
        <v>2436.6390575</v>
      </c>
    </row>
    <row r="836" spans="1:10" s="276" customFormat="1" ht="28.8">
      <c r="B836" s="381" t="s">
        <v>1800</v>
      </c>
      <c r="C836" s="382">
        <f t="shared" si="113"/>
        <v>37524</v>
      </c>
      <c r="D836" s="383" t="str">
        <f t="shared" si="113"/>
        <v>SINAPI SP - 08/2023</v>
      </c>
      <c r="E836" s="344" t="str">
        <f t="shared" si="113"/>
        <v>TELA PLASTICA LARANJA, TIPO TAPUME PARA SINALIZACAO, MALHA RETANGULAR, ROLO 1.20 X 50 M (L X C)</v>
      </c>
      <c r="F836" s="382" t="str">
        <f t="shared" si="113"/>
        <v>M²</v>
      </c>
      <c r="G836" s="316">
        <f t="shared" si="113"/>
        <v>40</v>
      </c>
      <c r="H836" s="290">
        <f t="shared" si="113"/>
        <v>2</v>
      </c>
      <c r="I836" s="287">
        <f t="shared" si="113"/>
        <v>2.39</v>
      </c>
      <c r="J836" s="384">
        <f>G836*I836</f>
        <v>95.600000000000009</v>
      </c>
    </row>
    <row r="837" spans="1:10" s="261" customFormat="1">
      <c r="B837" s="577" t="s">
        <v>1803</v>
      </c>
      <c r="C837" s="578"/>
      <c r="D837" s="578"/>
      <c r="E837" s="578"/>
      <c r="F837" s="578"/>
      <c r="G837" s="578"/>
      <c r="H837" s="578"/>
      <c r="I837" s="578"/>
      <c r="J837" s="296">
        <f>SUM(J835:J836)</f>
        <v>2532.2390574999999</v>
      </c>
    </row>
    <row r="838" spans="1:10" s="147" customFormat="1">
      <c r="B838" s="237" t="s">
        <v>1801</v>
      </c>
      <c r="C838" s="238"/>
      <c r="D838" s="533"/>
      <c r="E838" s="239" t="s">
        <v>525</v>
      </c>
      <c r="F838" s="238"/>
      <c r="G838" s="312"/>
      <c r="H838" s="300"/>
      <c r="I838" s="285"/>
      <c r="J838" s="294"/>
    </row>
    <row r="839" spans="1:10" s="276" customFormat="1" ht="28.8">
      <c r="B839" s="381" t="s">
        <v>1802</v>
      </c>
      <c r="C839" s="382" t="s">
        <v>711</v>
      </c>
      <c r="D839" s="383" t="str">
        <f>COMPOSIÇÕES!B10</f>
        <v>SINAPI SP - 08/2023</v>
      </c>
      <c r="E839" s="487" t="s">
        <v>2404</v>
      </c>
      <c r="F839" s="382" t="s">
        <v>431</v>
      </c>
      <c r="G839" s="315">
        <v>36</v>
      </c>
      <c r="H839" s="290">
        <f>SUM(COMPOSIÇÕES!G11:G13)</f>
        <v>328.17395199999999</v>
      </c>
      <c r="I839" s="287">
        <f>COMPOSIÇÕES!J10</f>
        <v>392.16787263999993</v>
      </c>
      <c r="J839" s="384">
        <f t="shared" ref="J839" si="114">G839*I839</f>
        <v>14118.043415039998</v>
      </c>
    </row>
    <row r="840" spans="1:10" s="150" customFormat="1" ht="86.4">
      <c r="B840" s="381" t="s">
        <v>1804</v>
      </c>
      <c r="C840" s="382" t="s">
        <v>711</v>
      </c>
      <c r="D840" s="383" t="str">
        <f>COMPOSIÇÕES!B14</f>
        <v>SINAPI SP - 08/2023</v>
      </c>
      <c r="E840" s="344" t="s">
        <v>754</v>
      </c>
      <c r="F840" s="382" t="s">
        <v>412</v>
      </c>
      <c r="G840" s="317">
        <v>5</v>
      </c>
      <c r="H840" s="290">
        <f>SUM(COMPOSIÇÕES!G15:G18)</f>
        <v>37.264400000000002</v>
      </c>
      <c r="I840" s="287">
        <f>COMPOSIÇÕES!$J$14</f>
        <v>44.530958000000005</v>
      </c>
      <c r="J840" s="384">
        <f>G840*I840</f>
        <v>222.65479000000002</v>
      </c>
    </row>
    <row r="841" spans="1:10" s="150" customFormat="1" ht="86.4">
      <c r="B841" s="381" t="s">
        <v>1805</v>
      </c>
      <c r="C841" s="382" t="s">
        <v>711</v>
      </c>
      <c r="D841" s="383" t="str">
        <f>COMPOSIÇÕES!B117</f>
        <v>SINAPI SP - 08/2023</v>
      </c>
      <c r="E841" s="344" t="s">
        <v>804</v>
      </c>
      <c r="F841" s="382" t="s">
        <v>412</v>
      </c>
      <c r="G841" s="317">
        <v>5</v>
      </c>
      <c r="H841" s="290">
        <f>SUM(COMPOSIÇÕES!G118:G121)</f>
        <v>94.308000000000007</v>
      </c>
      <c r="I841" s="287">
        <f>COMPOSIÇÕES!$J$117</f>
        <v>112.69806</v>
      </c>
      <c r="J841" s="384">
        <f t="shared" ref="J841:J852" si="115">G841*I841</f>
        <v>563.49029999999993</v>
      </c>
    </row>
    <row r="842" spans="1:10" s="150" customFormat="1" ht="86.4">
      <c r="B842" s="381" t="s">
        <v>1806</v>
      </c>
      <c r="C842" s="382" t="s">
        <v>711</v>
      </c>
      <c r="D842" s="383" t="str">
        <f>COMPOSIÇÕES!B24</f>
        <v>SINAPI SP - 08/2023</v>
      </c>
      <c r="E842" s="344" t="s">
        <v>747</v>
      </c>
      <c r="F842" s="382" t="s">
        <v>412</v>
      </c>
      <c r="G842" s="317">
        <v>175</v>
      </c>
      <c r="H842" s="290">
        <f>SUM(COMPOSIÇÕES!G25:G28)</f>
        <v>53.322000000000003</v>
      </c>
      <c r="I842" s="287">
        <f>COMPOSIÇÕES!$J$24</f>
        <v>63.719789999999996</v>
      </c>
      <c r="J842" s="384">
        <f t="shared" si="115"/>
        <v>11150.963249999999</v>
      </c>
    </row>
    <row r="843" spans="1:10" s="393" customFormat="1" ht="86.4">
      <c r="A843" s="150"/>
      <c r="B843" s="381" t="s">
        <v>1807</v>
      </c>
      <c r="C843" s="394" t="s">
        <v>711</v>
      </c>
      <c r="D843" s="389" t="str">
        <f>COMPOSIÇÕES!B29</f>
        <v xml:space="preserve">SINAPI SP - 08/2023 </v>
      </c>
      <c r="E843" s="395" t="s">
        <v>748</v>
      </c>
      <c r="F843" s="394" t="s">
        <v>412</v>
      </c>
      <c r="G843" s="315">
        <v>175</v>
      </c>
      <c r="H843" s="392">
        <f>SUM(COMPOSIÇÕES!G30:G33)</f>
        <v>85.438000000000002</v>
      </c>
      <c r="I843" s="396">
        <f>COMPOSIÇÕES!$J$29</f>
        <v>102.09840999999999</v>
      </c>
      <c r="J843" s="397">
        <f t="shared" si="115"/>
        <v>17867.221749999997</v>
      </c>
    </row>
    <row r="844" spans="1:10" s="393" customFormat="1" ht="28.8">
      <c r="A844" s="150"/>
      <c r="B844" s="381" t="s">
        <v>1808</v>
      </c>
      <c r="C844" s="394" t="str">
        <f t="shared" ref="C844:I844" si="116">C775</f>
        <v>22.02.030</v>
      </c>
      <c r="D844" s="389" t="str">
        <f t="shared" si="116"/>
        <v>CDHU - BOLETIM 191</v>
      </c>
      <c r="E844" s="395" t="str">
        <f t="shared" si="116"/>
        <v>Forro em painéis de gesso acartonado, espessura de 12,5mm, fixo</v>
      </c>
      <c r="F844" s="394" t="str">
        <f t="shared" si="116"/>
        <v>M²</v>
      </c>
      <c r="G844" s="315">
        <f>6.8*0.55*2*20</f>
        <v>149.60000000000002</v>
      </c>
      <c r="H844" s="392">
        <f t="shared" si="116"/>
        <v>99.47</v>
      </c>
      <c r="I844" s="396">
        <f t="shared" si="116"/>
        <v>118.86664999999999</v>
      </c>
      <c r="J844" s="397">
        <f t="shared" si="115"/>
        <v>17782.450840000001</v>
      </c>
    </row>
    <row r="845" spans="1:10" s="150" customFormat="1" ht="57.6">
      <c r="B845" s="381" t="s">
        <v>1809</v>
      </c>
      <c r="C845" s="382" t="s">
        <v>711</v>
      </c>
      <c r="D845" s="383" t="str">
        <f>COMPOSIÇÕES!B36</f>
        <v xml:space="preserve">SINAPI SP - 08/2023 </v>
      </c>
      <c r="E845" s="398" t="s">
        <v>756</v>
      </c>
      <c r="F845" s="382" t="s">
        <v>413</v>
      </c>
      <c r="G845" s="315">
        <v>420</v>
      </c>
      <c r="H845" s="287">
        <f>SUM(COMPOSIÇÕES!$G$37:$G$38)</f>
        <v>75</v>
      </c>
      <c r="I845" s="287">
        <f>COMPOSIÇÕES!$J$36</f>
        <v>101.5033</v>
      </c>
      <c r="J845" s="384">
        <f t="shared" si="115"/>
        <v>42631.385999999999</v>
      </c>
    </row>
    <row r="846" spans="1:10" s="335" customFormat="1" ht="28.8">
      <c r="A846" s="150"/>
      <c r="B846" s="381" t="s">
        <v>1810</v>
      </c>
      <c r="C846" s="383" t="str">
        <f>COMPOSIÇÕES!A44</f>
        <v>61.10.565</v>
      </c>
      <c r="D846" s="383" t="str">
        <f>COMPOSIÇÕES!B44</f>
        <v>CDHU - BOLETIM 191</v>
      </c>
      <c r="E846" s="388" t="s">
        <v>1042</v>
      </c>
      <c r="F846" s="382" t="s">
        <v>431</v>
      </c>
      <c r="G846" s="315">
        <v>15</v>
      </c>
      <c r="H846" s="287">
        <f>COMPOSIÇÕES!G45</f>
        <v>248.91654375000002</v>
      </c>
      <c r="I846" s="287">
        <f>COMPOSIÇÕES!$J$44</f>
        <v>297.45526978125002</v>
      </c>
      <c r="J846" s="384">
        <f t="shared" si="115"/>
        <v>4461.8290467187508</v>
      </c>
    </row>
    <row r="847" spans="1:10" s="335" customFormat="1" ht="28.8">
      <c r="A847" s="150"/>
      <c r="B847" s="381" t="s">
        <v>1811</v>
      </c>
      <c r="C847" s="383" t="str">
        <f>COMPOSIÇÕES!A46</f>
        <v>61.10.564</v>
      </c>
      <c r="D847" s="383" t="str">
        <f>COMPOSIÇÕES!B46</f>
        <v>CDHU - BOLETIM 191</v>
      </c>
      <c r="E847" s="388" t="s">
        <v>1043</v>
      </c>
      <c r="F847" s="382" t="s">
        <v>431</v>
      </c>
      <c r="G847" s="315">
        <v>3</v>
      </c>
      <c r="H847" s="287">
        <f>COMPOSIÇÕES!G47</f>
        <v>49.947131250000005</v>
      </c>
      <c r="I847" s="287">
        <f>COMPOSIÇÕES!$J$46</f>
        <v>59.68682184375001</v>
      </c>
      <c r="J847" s="384">
        <f t="shared" si="115"/>
        <v>179.06046553125003</v>
      </c>
    </row>
    <row r="848" spans="1:10" s="335" customFormat="1" ht="28.8">
      <c r="A848" s="150"/>
      <c r="B848" s="381" t="s">
        <v>1812</v>
      </c>
      <c r="C848" s="383" t="str">
        <f>COMPOSIÇÕES!A48</f>
        <v>61.10.564</v>
      </c>
      <c r="D848" s="383" t="str">
        <f>COMPOSIÇÕES!B48</f>
        <v>CDHU - BOLETIM 191</v>
      </c>
      <c r="E848" s="388" t="s">
        <v>1044</v>
      </c>
      <c r="F848" s="382" t="s">
        <v>431</v>
      </c>
      <c r="G848" s="315">
        <v>2</v>
      </c>
      <c r="H848" s="287">
        <f>COMPOSIÇÕES!G49</f>
        <v>82.875240000000005</v>
      </c>
      <c r="I848" s="287">
        <f>COMPOSIÇÕES!$J$48</f>
        <v>99.035911800000008</v>
      </c>
      <c r="J848" s="384">
        <f t="shared" si="115"/>
        <v>198.07182360000002</v>
      </c>
    </row>
    <row r="849" spans="1:10" s="150" customFormat="1" ht="28.8">
      <c r="B849" s="381" t="s">
        <v>1813</v>
      </c>
      <c r="C849" s="383" t="str">
        <f>COMPOSIÇÕES!A52</f>
        <v>61.10.581</v>
      </c>
      <c r="D849" s="383" t="str">
        <f>COMPOSIÇÕES!B52</f>
        <v>CDHU - BOLETIM 191</v>
      </c>
      <c r="E849" s="388" t="s">
        <v>1120</v>
      </c>
      <c r="F849" s="382" t="s">
        <v>431</v>
      </c>
      <c r="G849" s="315">
        <v>15</v>
      </c>
      <c r="H849" s="287">
        <f>COMPOSIÇÕES!G53</f>
        <v>190.63124999999999</v>
      </c>
      <c r="I849" s="287">
        <f>COMPOSIÇÕES!$J$52</f>
        <v>227.80434374999999</v>
      </c>
      <c r="J849" s="384">
        <f t="shared" si="115"/>
        <v>3417.0651562499997</v>
      </c>
    </row>
    <row r="850" spans="1:10" s="150" customFormat="1" ht="28.8">
      <c r="B850" s="381" t="s">
        <v>1814</v>
      </c>
      <c r="C850" s="383" t="str">
        <f>COMPOSIÇÕES!A56</f>
        <v>61.10.581</v>
      </c>
      <c r="D850" s="383" t="str">
        <f>COMPOSIÇÕES!B56</f>
        <v>CDHU - BOLETIM 191</v>
      </c>
      <c r="E850" s="388" t="s">
        <v>1117</v>
      </c>
      <c r="F850" s="382" t="s">
        <v>431</v>
      </c>
      <c r="G850" s="315">
        <v>3</v>
      </c>
      <c r="H850" s="287">
        <f>COMPOSIÇÕES!G57</f>
        <v>16.945000000000004</v>
      </c>
      <c r="I850" s="287">
        <f>COMPOSIÇÕES!$J$56</f>
        <v>20.249275000000004</v>
      </c>
      <c r="J850" s="384">
        <f t="shared" si="115"/>
        <v>60.747825000000013</v>
      </c>
    </row>
    <row r="851" spans="1:10" s="150" customFormat="1" ht="28.8">
      <c r="B851" s="381" t="s">
        <v>1815</v>
      </c>
      <c r="C851" s="383" t="str">
        <f>COMPOSIÇÕES!A122</f>
        <v>61.10.581</v>
      </c>
      <c r="D851" s="383" t="str">
        <f>COMPOSIÇÕES!B122</f>
        <v>CDHU - BOLETIM 191</v>
      </c>
      <c r="E851" s="388" t="s">
        <v>809</v>
      </c>
      <c r="F851" s="382" t="s">
        <v>431</v>
      </c>
      <c r="G851" s="317">
        <v>2</v>
      </c>
      <c r="H851" s="287">
        <f>SUM(COMPOSIÇÕES!$G$123:$G$123)</f>
        <v>33.890000000000008</v>
      </c>
      <c r="I851" s="287">
        <f>COMPOSIÇÕES!$J$122</f>
        <v>40.498550000000009</v>
      </c>
      <c r="J851" s="384">
        <f t="shared" si="115"/>
        <v>80.997100000000017</v>
      </c>
    </row>
    <row r="852" spans="1:10" s="150" customFormat="1" ht="28.8">
      <c r="A852" s="271"/>
      <c r="B852" s="381" t="s">
        <v>1816</v>
      </c>
      <c r="C852" s="382" t="s">
        <v>711</v>
      </c>
      <c r="D852" s="383" t="str">
        <f>COMPOSIÇÕES!B58</f>
        <v xml:space="preserve">SINAPI SP - 08/2023 </v>
      </c>
      <c r="E852" s="388" t="s">
        <v>758</v>
      </c>
      <c r="F852" s="382" t="s">
        <v>412</v>
      </c>
      <c r="G852" s="315">
        <v>270</v>
      </c>
      <c r="H852" s="287">
        <f>SUM(COMPOSIÇÕES!G59:G61)</f>
        <v>31.499000000000002</v>
      </c>
      <c r="I852" s="287">
        <f>COMPOSIÇÕES!$J$58</f>
        <v>37.641304999999996</v>
      </c>
      <c r="J852" s="384">
        <f t="shared" si="115"/>
        <v>10163.152349999998</v>
      </c>
    </row>
    <row r="853" spans="1:10" s="150" customFormat="1" ht="28.8">
      <c r="A853" s="271"/>
      <c r="B853" s="381" t="s">
        <v>1817</v>
      </c>
      <c r="C853" s="382" t="s">
        <v>711</v>
      </c>
      <c r="D853" s="480" t="str">
        <f>COMPOSIÇÕES!B64</f>
        <v>SINAPI SP - 08/2023</v>
      </c>
      <c r="E853" s="388" t="s">
        <v>697</v>
      </c>
      <c r="F853" s="382" t="s">
        <v>431</v>
      </c>
      <c r="G853" s="315">
        <v>36</v>
      </c>
      <c r="H853" s="287">
        <f>SUM(COMPOSIÇÕES!$G$65:$G$67)</f>
        <v>92.32</v>
      </c>
      <c r="I853" s="287">
        <f>COMPOSIÇÕES!$J$64</f>
        <v>110.32240000000002</v>
      </c>
      <c r="J853" s="384">
        <f t="shared" ref="J853:J857" si="117">I853*G853</f>
        <v>3971.6064000000006</v>
      </c>
    </row>
    <row r="854" spans="1:10" s="150" customFormat="1" ht="28.8">
      <c r="A854" s="271"/>
      <c r="B854" s="381" t="s">
        <v>1818</v>
      </c>
      <c r="C854" s="382" t="s">
        <v>711</v>
      </c>
      <c r="D854" s="383" t="str">
        <f>COMPOSIÇÕES!B68</f>
        <v xml:space="preserve">SINAPI SP - 08/2023 </v>
      </c>
      <c r="E854" s="388" t="s">
        <v>762</v>
      </c>
      <c r="F854" s="382" t="s">
        <v>415</v>
      </c>
      <c r="G854" s="315">
        <v>1</v>
      </c>
      <c r="H854" s="287">
        <f>SUM(COMPOSIÇÕES!$G$69:$G$70)</f>
        <v>58.91</v>
      </c>
      <c r="I854" s="287">
        <f>COMPOSIÇÕES!$J$68</f>
        <v>70.397449999999992</v>
      </c>
      <c r="J854" s="384">
        <f t="shared" si="117"/>
        <v>70.397449999999992</v>
      </c>
    </row>
    <row r="855" spans="1:10" s="150" customFormat="1" ht="28.8">
      <c r="A855" s="271"/>
      <c r="B855" s="381" t="s">
        <v>1819</v>
      </c>
      <c r="C855" s="399" t="s">
        <v>763</v>
      </c>
      <c r="D855" s="273" t="str">
        <f>COMPOSIÇÕES!B71</f>
        <v xml:space="preserve">SINAPI SP - 08/2023 </v>
      </c>
      <c r="E855" s="400" t="s">
        <v>761</v>
      </c>
      <c r="F855" s="273" t="s">
        <v>541</v>
      </c>
      <c r="G855" s="316">
        <v>2</v>
      </c>
      <c r="H855" s="287">
        <f>SUM(COMPOSIÇÕES!$G$72:$G$72)</f>
        <v>28.8</v>
      </c>
      <c r="I855" s="287">
        <f>COMPOSIÇÕES!$J$71</f>
        <v>34.416000000000004</v>
      </c>
      <c r="J855" s="384">
        <f t="shared" si="117"/>
        <v>68.832000000000008</v>
      </c>
    </row>
    <row r="856" spans="1:10" s="150" customFormat="1">
      <c r="A856" s="271"/>
      <c r="B856" s="381" t="s">
        <v>2416</v>
      </c>
      <c r="C856" s="399" t="s">
        <v>759</v>
      </c>
      <c r="D856" s="273" t="str">
        <f>COMPOSIÇÕES!B73</f>
        <v>FDE - 07/2023</v>
      </c>
      <c r="E856" s="400" t="s">
        <v>760</v>
      </c>
      <c r="F856" s="273" t="s">
        <v>701</v>
      </c>
      <c r="G856" s="316">
        <v>1</v>
      </c>
      <c r="H856" s="530">
        <f>VLOOKUP(C856,COMPOSIÇÕES!A:J,6,FALSE)</f>
        <v>38.485355648535567</v>
      </c>
      <c r="I856" s="287">
        <f>COMPOSIÇÕES!$J$73</f>
        <v>45.99</v>
      </c>
      <c r="J856" s="384">
        <f t="shared" si="117"/>
        <v>45.99</v>
      </c>
    </row>
    <row r="857" spans="1:10" s="150" customFormat="1">
      <c r="A857" s="271"/>
      <c r="B857" s="381" t="s">
        <v>2448</v>
      </c>
      <c r="C857" s="399" t="s">
        <v>764</v>
      </c>
      <c r="D857" s="273" t="str">
        <f>COMPOSIÇÕES!B74</f>
        <v>FDE - 07/2023</v>
      </c>
      <c r="E857" s="400" t="s">
        <v>765</v>
      </c>
      <c r="F857" s="273" t="s">
        <v>541</v>
      </c>
      <c r="G857" s="316">
        <v>3</v>
      </c>
      <c r="H857" s="530">
        <f>VLOOKUP(C857,COMPOSIÇÕES!A:J,6,FALSE)</f>
        <v>210.81171548117152</v>
      </c>
      <c r="I857" s="287">
        <f>COMPOSIÇÕES!$J$74</f>
        <v>251.91999999999996</v>
      </c>
      <c r="J857" s="384">
        <f t="shared" si="117"/>
        <v>755.75999999999988</v>
      </c>
    </row>
    <row r="858" spans="1:10" s="147" customFormat="1">
      <c r="B858" s="577" t="s">
        <v>1857</v>
      </c>
      <c r="C858" s="578"/>
      <c r="D858" s="578"/>
      <c r="E858" s="578"/>
      <c r="F858" s="578"/>
      <c r="G858" s="578"/>
      <c r="H858" s="578"/>
      <c r="I858" s="578"/>
      <c r="J858" s="296">
        <f>SUM(J839:J857)</f>
        <v>127809.71996213998</v>
      </c>
    </row>
    <row r="859" spans="1:10" s="263" customFormat="1">
      <c r="B859" s="237" t="s">
        <v>1822</v>
      </c>
      <c r="C859" s="238"/>
      <c r="D859" s="533"/>
      <c r="E859" s="239" t="s">
        <v>526</v>
      </c>
      <c r="F859" s="238"/>
      <c r="G859" s="312"/>
      <c r="H859" s="300"/>
      <c r="I859" s="285"/>
      <c r="J859" s="294"/>
    </row>
    <row r="860" spans="1:10" s="150" customFormat="1">
      <c r="B860" s="260" t="s">
        <v>1823</v>
      </c>
      <c r="C860" s="382" t="s">
        <v>711</v>
      </c>
      <c r="D860" s="383" t="str">
        <f>COMPOSIÇÕES!B75</f>
        <v>FDE - 07/2023</v>
      </c>
      <c r="E860" s="344" t="s">
        <v>745</v>
      </c>
      <c r="F860" s="382" t="s">
        <v>431</v>
      </c>
      <c r="G860" s="317">
        <v>300</v>
      </c>
      <c r="H860" s="290">
        <f>COMPOSIÇÕES!G76+COMPOSIÇÕES!G77+COMPOSIÇÕES!G78</f>
        <v>34.013252032520327</v>
      </c>
      <c r="I860" s="287">
        <f>COMPOSIÇÕES!$J$75</f>
        <v>40.645836178861792</v>
      </c>
      <c r="J860" s="384">
        <f t="shared" ref="J860:J880" si="118">G860*I860</f>
        <v>12193.750853658537</v>
      </c>
    </row>
    <row r="861" spans="1:10" s="150" customFormat="1" ht="43.2">
      <c r="B861" s="260" t="s">
        <v>1824</v>
      </c>
      <c r="C861" s="382" t="s">
        <v>711</v>
      </c>
      <c r="D861" s="383" t="str">
        <f>COMPOSIÇÕES!B79</f>
        <v>FDE - 07/2023 + SINAPI SP - 08/2023</v>
      </c>
      <c r="E861" s="344" t="s">
        <v>742</v>
      </c>
      <c r="F861" s="382" t="s">
        <v>431</v>
      </c>
      <c r="G861" s="317">
        <v>15</v>
      </c>
      <c r="H861" s="290">
        <f>SUM(COMPOSIÇÕES!G80:G82)</f>
        <v>6.9960000000000004</v>
      </c>
      <c r="I861" s="287">
        <f>COMPOSIÇÕES!$J$79</f>
        <v>8.36022</v>
      </c>
      <c r="J861" s="384">
        <f t="shared" si="118"/>
        <v>125.4033</v>
      </c>
    </row>
    <row r="862" spans="1:10" s="150" customFormat="1" ht="43.2">
      <c r="B862" s="260" t="s">
        <v>1825</v>
      </c>
      <c r="C862" s="382" t="s">
        <v>711</v>
      </c>
      <c r="D862" s="383" t="str">
        <f>COMPOSIÇÕES!B128</f>
        <v>FDE - 07/2023 + SINAPI SP - 08/2023</v>
      </c>
      <c r="E862" s="344" t="s">
        <v>812</v>
      </c>
      <c r="F862" s="382" t="s">
        <v>431</v>
      </c>
      <c r="G862" s="317">
        <v>12</v>
      </c>
      <c r="H862" s="290">
        <f>SUM(COMPOSIÇÕES!G129:G131)</f>
        <v>23.056000000000001</v>
      </c>
      <c r="I862" s="287">
        <f>COMPOSIÇÕES!$J$128</f>
        <v>27.551920000000003</v>
      </c>
      <c r="J862" s="384">
        <f t="shared" si="118"/>
        <v>330.62304000000006</v>
      </c>
    </row>
    <row r="863" spans="1:10" s="150" customFormat="1" ht="43.2">
      <c r="B863" s="260" t="s">
        <v>1826</v>
      </c>
      <c r="C863" s="382" t="s">
        <v>711</v>
      </c>
      <c r="D863" s="383" t="str">
        <f>COMPOSIÇÕES!B132</f>
        <v>FDE - 07/2023 + SINAPI SP - 08/2023</v>
      </c>
      <c r="E863" s="344" t="s">
        <v>813</v>
      </c>
      <c r="F863" s="382" t="s">
        <v>431</v>
      </c>
      <c r="G863" s="317">
        <v>15</v>
      </c>
      <c r="H863" s="290">
        <f>SUM(COMPOSIÇÕES!G133:G135)</f>
        <v>21.855999999999998</v>
      </c>
      <c r="I863" s="287">
        <f>COMPOSIÇÕES!$J$132</f>
        <v>26.117919999999998</v>
      </c>
      <c r="J863" s="384">
        <f t="shared" si="118"/>
        <v>391.76879999999994</v>
      </c>
    </row>
    <row r="864" spans="1:10" s="150" customFormat="1" ht="28.8">
      <c r="B864" s="260" t="s">
        <v>1827</v>
      </c>
      <c r="C864" s="382" t="s">
        <v>711</v>
      </c>
      <c r="D864" s="383" t="str">
        <f>COMPOSIÇÕES!B136</f>
        <v>FDE - 07/2023</v>
      </c>
      <c r="E864" s="344" t="s">
        <v>816</v>
      </c>
      <c r="F864" s="382" t="s">
        <v>431</v>
      </c>
      <c r="G864" s="317">
        <v>2</v>
      </c>
      <c r="H864" s="290">
        <f>SUM(COMPOSIÇÕES!G137:G139)</f>
        <v>28.625999999999998</v>
      </c>
      <c r="I864" s="287">
        <f>COMPOSIÇÕES!$J$136</f>
        <v>34.208069999999999</v>
      </c>
      <c r="J864" s="384">
        <f t="shared" si="118"/>
        <v>68.416139999999999</v>
      </c>
    </row>
    <row r="865" spans="2:10" s="150" customFormat="1">
      <c r="B865" s="260" t="s">
        <v>1828</v>
      </c>
      <c r="C865" s="382" t="s">
        <v>739</v>
      </c>
      <c r="D865" s="383" t="str">
        <f>COMPOSIÇÕES!B83</f>
        <v>FDE - 07/2023</v>
      </c>
      <c r="E865" s="344" t="s">
        <v>766</v>
      </c>
      <c r="F865" s="382" t="s">
        <v>431</v>
      </c>
      <c r="G865" s="317">
        <v>20</v>
      </c>
      <c r="H865" s="530">
        <f>VLOOKUP(C865,COMPOSIÇÕES!A:J,6,FALSE)</f>
        <v>32.35146443514644</v>
      </c>
      <c r="I865" s="287">
        <f>COMPOSIÇÕES!$J$83</f>
        <v>38.659999999999997</v>
      </c>
      <c r="J865" s="384">
        <f t="shared" si="118"/>
        <v>773.19999999999993</v>
      </c>
    </row>
    <row r="866" spans="2:10" s="150" customFormat="1">
      <c r="B866" s="260" t="s">
        <v>1829</v>
      </c>
      <c r="C866" s="382" t="s">
        <v>739</v>
      </c>
      <c r="D866" s="383" t="str">
        <f t="shared" ref="D866:D867" si="119">$D$865</f>
        <v>FDE - 07/2023</v>
      </c>
      <c r="E866" s="344" t="s">
        <v>767</v>
      </c>
      <c r="F866" s="382" t="s">
        <v>431</v>
      </c>
      <c r="G866" s="317">
        <v>20</v>
      </c>
      <c r="H866" s="530">
        <f>VLOOKUP(C866,COMPOSIÇÕES!A:J,6,FALSE)</f>
        <v>32.35146443514644</v>
      </c>
      <c r="I866" s="287">
        <f>COMPOSIÇÕES!$J$83</f>
        <v>38.659999999999997</v>
      </c>
      <c r="J866" s="384">
        <f t="shared" si="118"/>
        <v>773.19999999999993</v>
      </c>
    </row>
    <row r="867" spans="2:10" s="150" customFormat="1">
      <c r="B867" s="260" t="s">
        <v>1830</v>
      </c>
      <c r="C867" s="382" t="s">
        <v>739</v>
      </c>
      <c r="D867" s="383" t="str">
        <f t="shared" si="119"/>
        <v>FDE - 07/2023</v>
      </c>
      <c r="E867" s="344" t="s">
        <v>768</v>
      </c>
      <c r="F867" s="382" t="s">
        <v>431</v>
      </c>
      <c r="G867" s="317">
        <v>12</v>
      </c>
      <c r="H867" s="530">
        <f>VLOOKUP(C867,COMPOSIÇÕES!A:J,6,FALSE)</f>
        <v>32.35146443514644</v>
      </c>
      <c r="I867" s="287">
        <f>COMPOSIÇÕES!$J$83</f>
        <v>38.659999999999997</v>
      </c>
      <c r="J867" s="384">
        <f t="shared" si="118"/>
        <v>463.91999999999996</v>
      </c>
    </row>
    <row r="868" spans="2:10" s="150" customFormat="1">
      <c r="B868" s="260" t="s">
        <v>1831</v>
      </c>
      <c r="C868" s="382" t="s">
        <v>738</v>
      </c>
      <c r="D868" s="383" t="str">
        <f>COMPOSIÇÕES!B84</f>
        <v>FDE - 07/2023</v>
      </c>
      <c r="E868" s="344" t="s">
        <v>818</v>
      </c>
      <c r="F868" s="382" t="s">
        <v>431</v>
      </c>
      <c r="G868" s="317">
        <v>15</v>
      </c>
      <c r="H868" s="530">
        <f>VLOOKUP(C868,COMPOSIÇÕES!A:J,6,FALSE)</f>
        <v>37.087866108786606</v>
      </c>
      <c r="I868" s="287">
        <f>COMPOSIÇÕES!$J$84</f>
        <v>44.319999999999993</v>
      </c>
      <c r="J868" s="384">
        <f t="shared" si="118"/>
        <v>664.8</v>
      </c>
    </row>
    <row r="869" spans="2:10" s="150" customFormat="1">
      <c r="B869" s="260" t="s">
        <v>1832</v>
      </c>
      <c r="C869" s="382" t="s">
        <v>738</v>
      </c>
      <c r="D869" s="383" t="str">
        <f t="shared" ref="D869:D870" si="120">$D$868</f>
        <v>FDE - 07/2023</v>
      </c>
      <c r="E869" s="344" t="s">
        <v>817</v>
      </c>
      <c r="F869" s="382" t="s">
        <v>431</v>
      </c>
      <c r="G869" s="317">
        <v>15</v>
      </c>
      <c r="H869" s="530">
        <f>VLOOKUP(C869,COMPOSIÇÕES!A:J,6,FALSE)</f>
        <v>37.087866108786606</v>
      </c>
      <c r="I869" s="287">
        <f>COMPOSIÇÕES!$J$84</f>
        <v>44.319999999999993</v>
      </c>
      <c r="J869" s="384">
        <f t="shared" si="118"/>
        <v>664.8</v>
      </c>
    </row>
    <row r="870" spans="2:10" s="150" customFormat="1">
      <c r="B870" s="260" t="s">
        <v>1833</v>
      </c>
      <c r="C870" s="382" t="s">
        <v>738</v>
      </c>
      <c r="D870" s="383" t="str">
        <f t="shared" si="120"/>
        <v>FDE - 07/2023</v>
      </c>
      <c r="E870" s="344" t="s">
        <v>769</v>
      </c>
      <c r="F870" s="382" t="s">
        <v>431</v>
      </c>
      <c r="G870" s="317">
        <v>10</v>
      </c>
      <c r="H870" s="530">
        <f>VLOOKUP(C870,COMPOSIÇÕES!A:J,6,FALSE)</f>
        <v>37.087866108786606</v>
      </c>
      <c r="I870" s="287">
        <f>COMPOSIÇÕES!$J$84</f>
        <v>44.319999999999993</v>
      </c>
      <c r="J870" s="384">
        <f t="shared" si="118"/>
        <v>443.19999999999993</v>
      </c>
    </row>
    <row r="871" spans="2:10" s="150" customFormat="1">
      <c r="B871" s="260" t="s">
        <v>1834</v>
      </c>
      <c r="C871" s="382" t="s">
        <v>819</v>
      </c>
      <c r="D871" s="383" t="str">
        <f>COMPOSIÇÕES!B140</f>
        <v>FDE - 07/2023</v>
      </c>
      <c r="E871" s="344" t="s">
        <v>823</v>
      </c>
      <c r="F871" s="382" t="s">
        <v>431</v>
      </c>
      <c r="G871" s="317">
        <v>3</v>
      </c>
      <c r="H871" s="530">
        <f>COMPOSIÇÕES!F140</f>
        <v>68.63</v>
      </c>
      <c r="I871" s="287">
        <f>COMPOSIÇÕES!$J$140</f>
        <v>82.01285</v>
      </c>
      <c r="J871" s="384">
        <f t="shared" si="118"/>
        <v>246.03854999999999</v>
      </c>
    </row>
    <row r="872" spans="2:10" s="150" customFormat="1">
      <c r="B872" s="260" t="s">
        <v>1835</v>
      </c>
      <c r="C872" s="382" t="s">
        <v>819</v>
      </c>
      <c r="D872" s="383" t="str">
        <f>$D$871</f>
        <v>FDE - 07/2023</v>
      </c>
      <c r="E872" s="344" t="s">
        <v>828</v>
      </c>
      <c r="F872" s="382" t="s">
        <v>431</v>
      </c>
      <c r="G872" s="317">
        <v>3</v>
      </c>
      <c r="H872" s="530">
        <f>COMPOSIÇÕES!F140</f>
        <v>68.63</v>
      </c>
      <c r="I872" s="287">
        <f>COMPOSIÇÕES!$J$140</f>
        <v>82.01285</v>
      </c>
      <c r="J872" s="384">
        <f t="shared" si="118"/>
        <v>246.03854999999999</v>
      </c>
    </row>
    <row r="873" spans="2:10" s="150" customFormat="1">
      <c r="B873" s="260" t="s">
        <v>1836</v>
      </c>
      <c r="C873" s="382" t="s">
        <v>819</v>
      </c>
      <c r="D873" s="383" t="str">
        <f>$D$871</f>
        <v>FDE - 07/2023</v>
      </c>
      <c r="E873" s="344" t="s">
        <v>820</v>
      </c>
      <c r="F873" s="382" t="s">
        <v>431</v>
      </c>
      <c r="G873" s="317">
        <v>5</v>
      </c>
      <c r="H873" s="530">
        <f>COMPOSIÇÕES!F140</f>
        <v>68.63</v>
      </c>
      <c r="I873" s="287">
        <f>COMPOSIÇÕES!$J$140</f>
        <v>82.01285</v>
      </c>
      <c r="J873" s="384">
        <f t="shared" si="118"/>
        <v>410.06425000000002</v>
      </c>
    </row>
    <row r="874" spans="2:10" s="150" customFormat="1" ht="43.2">
      <c r="B874" s="260" t="s">
        <v>1837</v>
      </c>
      <c r="C874" s="382" t="s">
        <v>711</v>
      </c>
      <c r="D874" s="383" t="str">
        <f>COMPOSIÇÕES!B85</f>
        <v>FDE - 07/2023 + SINAPI SP - 08/2023</v>
      </c>
      <c r="E874" s="344" t="s">
        <v>737</v>
      </c>
      <c r="F874" s="382" t="s">
        <v>431</v>
      </c>
      <c r="G874" s="317">
        <v>2</v>
      </c>
      <c r="H874" s="290">
        <f>SUM(COMPOSIÇÕES!G86:G88)</f>
        <v>187.64000000000001</v>
      </c>
      <c r="I874" s="287">
        <f>COMPOSIÇÕES!$J$85</f>
        <v>224.22980000000001</v>
      </c>
      <c r="J874" s="384">
        <f t="shared" si="118"/>
        <v>448.45960000000002</v>
      </c>
    </row>
    <row r="875" spans="2:10" s="150" customFormat="1">
      <c r="B875" s="260" t="s">
        <v>1838</v>
      </c>
      <c r="C875" s="382" t="s">
        <v>735</v>
      </c>
      <c r="D875" s="383" t="str">
        <f>COMPOSIÇÕES!B89</f>
        <v>FDE - 07/2023</v>
      </c>
      <c r="E875" s="344" t="s">
        <v>736</v>
      </c>
      <c r="F875" s="382" t="s">
        <v>431</v>
      </c>
      <c r="G875" s="317">
        <v>300</v>
      </c>
      <c r="H875" s="530">
        <f>VLOOKUP(C875,COMPOSIÇÕES!A:J,6,FALSE)</f>
        <v>7.8158995815899575</v>
      </c>
      <c r="I875" s="287">
        <f>COMPOSIÇÕES!$J$89</f>
        <v>9.34</v>
      </c>
      <c r="J875" s="384">
        <f t="shared" si="118"/>
        <v>2802</v>
      </c>
    </row>
    <row r="876" spans="2:10" s="150" customFormat="1" ht="28.8">
      <c r="B876" s="260" t="s">
        <v>1839</v>
      </c>
      <c r="C876" s="383" t="str">
        <f>COMPOSIÇÕES!A91</f>
        <v>38.21.920</v>
      </c>
      <c r="D876" s="383" t="str">
        <f>COMPOSIÇÕES!B91</f>
        <v>CDHU - BOLETIM 191</v>
      </c>
      <c r="E876" s="388" t="str">
        <f>COMPOSIÇÕES!C91</f>
        <v>Eletrocalha perfurada galvanizada a fogo, 100 x 50 mm, com acessórios</v>
      </c>
      <c r="F876" s="382" t="s">
        <v>412</v>
      </c>
      <c r="G876" s="317">
        <f>46*3</f>
        <v>138</v>
      </c>
      <c r="H876" s="530">
        <f>VLOOKUP(C876,COMPOSIÇÕES!A:J,6,FALSE)</f>
        <v>98.38</v>
      </c>
      <c r="I876" s="287">
        <f>COMPOSIÇÕES!$J$91</f>
        <v>117.5641</v>
      </c>
      <c r="J876" s="384">
        <f t="shared" si="118"/>
        <v>16223.845799999999</v>
      </c>
    </row>
    <row r="877" spans="2:10" s="150" customFormat="1" ht="28.8">
      <c r="B877" s="260" t="s">
        <v>1840</v>
      </c>
      <c r="C877" s="383" t="str">
        <f>COMPOSIÇÕES!A92</f>
        <v>38.06.040</v>
      </c>
      <c r="D877" s="383" t="str">
        <f>COMPOSIÇÕES!B92</f>
        <v>CDHU - BOLETIM 191</v>
      </c>
      <c r="E877" s="388" t="str">
        <f>COMPOSIÇÕES!C92</f>
        <v>Eletroduto galvanizado a quente conforme NBR5598 ‐ 3/4´ com acessórios</v>
      </c>
      <c r="F877" s="382" t="s">
        <v>412</v>
      </c>
      <c r="G877" s="317">
        <f>34*3</f>
        <v>102</v>
      </c>
      <c r="H877" s="530">
        <f>VLOOKUP(C877,COMPOSIÇÕES!A:J,6,FALSE)</f>
        <v>60.65</v>
      </c>
      <c r="I877" s="287">
        <f>COMPOSIÇÕES!$J$92</f>
        <v>72.476749999999996</v>
      </c>
      <c r="J877" s="384">
        <f t="shared" si="118"/>
        <v>7392.6284999999998</v>
      </c>
    </row>
    <row r="878" spans="2:10" s="150" customFormat="1" ht="28.8">
      <c r="B878" s="260" t="s">
        <v>1841</v>
      </c>
      <c r="C878" s="383" t="str">
        <f>COMPOSIÇÕES!A93</f>
        <v>38.06.060</v>
      </c>
      <c r="D878" s="383" t="str">
        <f>COMPOSIÇÕES!B93</f>
        <v>CDHU - BOLETIM 191</v>
      </c>
      <c r="E878" s="388" t="str">
        <f>COMPOSIÇÕES!C93</f>
        <v>Eletroduto galvanizado a quente conforme NBR5598 ‐ 1´ com acessórios</v>
      </c>
      <c r="F878" s="382" t="s">
        <v>412</v>
      </c>
      <c r="G878" s="317">
        <f>27*3</f>
        <v>81</v>
      </c>
      <c r="H878" s="530">
        <f>VLOOKUP(C878,COMPOSIÇÕES!A:J,6,FALSE)</f>
        <v>75.38</v>
      </c>
      <c r="I878" s="287">
        <f>COMPOSIÇÕES!$J$93</f>
        <v>90.079099999999997</v>
      </c>
      <c r="J878" s="384">
        <f t="shared" si="118"/>
        <v>7296.4070999999994</v>
      </c>
    </row>
    <row r="879" spans="2:10" s="150" customFormat="1" ht="28.8">
      <c r="B879" s="260" t="s">
        <v>1842</v>
      </c>
      <c r="C879" s="383" t="str">
        <f>COMPOSIÇÕES!A142</f>
        <v>38.06.100</v>
      </c>
      <c r="D879" s="383" t="str">
        <f>COMPOSIÇÕES!B142</f>
        <v>CDHU - BOLETIM 191</v>
      </c>
      <c r="E879" s="388" t="str">
        <f>COMPOSIÇÕES!C142</f>
        <v>Eletroduto galvanizado a quente conforme NBR5598 ‐ 1 1/2´ com
acessórios</v>
      </c>
      <c r="F879" s="382" t="s">
        <v>412</v>
      </c>
      <c r="G879" s="317">
        <f>15*3</f>
        <v>45</v>
      </c>
      <c r="H879" s="530">
        <f>VLOOKUP(C879,COMPOSIÇÕES!A:J,6,FALSE)</f>
        <v>111.35</v>
      </c>
      <c r="I879" s="287">
        <f>COMPOSIÇÕES!$J$142</f>
        <v>133.06324999999998</v>
      </c>
      <c r="J879" s="384">
        <f t="shared" si="118"/>
        <v>5987.8462499999996</v>
      </c>
    </row>
    <row r="880" spans="2:10" s="150" customFormat="1" ht="28.8">
      <c r="B880" s="260" t="s">
        <v>1843</v>
      </c>
      <c r="C880" s="383" t="str">
        <f>COMPOSIÇÕES!A94</f>
        <v>38.06.180</v>
      </c>
      <c r="D880" s="383" t="str">
        <f>COMPOSIÇÕES!B94</f>
        <v>CDHU - BOLETIM 191</v>
      </c>
      <c r="E880" s="388" t="str">
        <f>COMPOSIÇÕES!C94</f>
        <v>Eletroduto galvanizado a quente conforme NBR5598 ‐ 4´ com acessórios</v>
      </c>
      <c r="F880" s="382" t="s">
        <v>412</v>
      </c>
      <c r="G880" s="317">
        <f>2*3</f>
        <v>6</v>
      </c>
      <c r="H880" s="530">
        <f>VLOOKUP(C880,COMPOSIÇÕES!A:J,6,FALSE)</f>
        <v>305.01</v>
      </c>
      <c r="I880" s="287">
        <f>COMPOSIÇÕES!$J$94</f>
        <v>364.48694999999998</v>
      </c>
      <c r="J880" s="384">
        <f t="shared" si="118"/>
        <v>2186.9216999999999</v>
      </c>
    </row>
    <row r="881" spans="1:10" s="150" customFormat="1" ht="28.8">
      <c r="B881" s="260" t="s">
        <v>1844</v>
      </c>
      <c r="C881" s="382">
        <v>91927</v>
      </c>
      <c r="D881" s="383" t="str">
        <f>COMPOSIÇÕES!B96</f>
        <v>SINAPI SP - 08/2023</v>
      </c>
      <c r="E881" s="344" t="s">
        <v>770</v>
      </c>
      <c r="F881" s="382" t="s">
        <v>412</v>
      </c>
      <c r="G881" s="317">
        <v>975</v>
      </c>
      <c r="H881" s="530">
        <f>VLOOKUP(C881,COMPOSIÇÕES!A:J,6,FALSE)</f>
        <v>4.8</v>
      </c>
      <c r="I881" s="287">
        <f>COMPOSIÇÕES!$J$96</f>
        <v>5.7359999999999998</v>
      </c>
      <c r="J881" s="384">
        <f t="shared" ref="J881:J888" si="121">G881*I881</f>
        <v>5592.5999999999995</v>
      </c>
    </row>
    <row r="882" spans="1:10" s="150" customFormat="1" ht="28.8">
      <c r="B882" s="260" t="s">
        <v>1845</v>
      </c>
      <c r="C882" s="382">
        <v>91927</v>
      </c>
      <c r="D882" s="383" t="str">
        <f t="shared" ref="D882:D884" si="122">$D$881</f>
        <v>SINAPI SP - 08/2023</v>
      </c>
      <c r="E882" s="344" t="s">
        <v>771</v>
      </c>
      <c r="F882" s="382" t="s">
        <v>412</v>
      </c>
      <c r="G882" s="317">
        <v>975</v>
      </c>
      <c r="H882" s="530">
        <f>VLOOKUP(C882,COMPOSIÇÕES!A:J,6,FALSE)</f>
        <v>4.8</v>
      </c>
      <c r="I882" s="287">
        <f>COMPOSIÇÕES!$J$96</f>
        <v>5.7359999999999998</v>
      </c>
      <c r="J882" s="384">
        <f t="shared" si="121"/>
        <v>5592.5999999999995</v>
      </c>
    </row>
    <row r="883" spans="1:10" s="150" customFormat="1" ht="28.8">
      <c r="B883" s="260" t="s">
        <v>1846</v>
      </c>
      <c r="C883" s="382">
        <v>91927</v>
      </c>
      <c r="D883" s="383" t="str">
        <f t="shared" si="122"/>
        <v>SINAPI SP - 08/2023</v>
      </c>
      <c r="E883" s="344" t="s">
        <v>772</v>
      </c>
      <c r="F883" s="382" t="s">
        <v>412</v>
      </c>
      <c r="G883" s="317">
        <v>975</v>
      </c>
      <c r="H883" s="530">
        <f>VLOOKUP(C883,COMPOSIÇÕES!A:J,6,FALSE)</f>
        <v>4.8</v>
      </c>
      <c r="I883" s="287">
        <f>COMPOSIÇÕES!$J$96</f>
        <v>5.7359999999999998</v>
      </c>
      <c r="J883" s="384">
        <f t="shared" si="121"/>
        <v>5592.5999999999995</v>
      </c>
    </row>
    <row r="884" spans="1:10" s="150" customFormat="1" ht="28.8">
      <c r="B884" s="260" t="s">
        <v>1847</v>
      </c>
      <c r="C884" s="382">
        <v>91927</v>
      </c>
      <c r="D884" s="383" t="str">
        <f t="shared" si="122"/>
        <v>SINAPI SP - 08/2023</v>
      </c>
      <c r="E884" s="344" t="s">
        <v>773</v>
      </c>
      <c r="F884" s="382" t="s">
        <v>412</v>
      </c>
      <c r="G884" s="317">
        <v>400</v>
      </c>
      <c r="H884" s="530">
        <f>VLOOKUP(C884,COMPOSIÇÕES!A:J,6,FALSE)</f>
        <v>4.8</v>
      </c>
      <c r="I884" s="287">
        <f>COMPOSIÇÕES!$J$96</f>
        <v>5.7359999999999998</v>
      </c>
      <c r="J884" s="384">
        <f t="shared" si="121"/>
        <v>2294.4</v>
      </c>
    </row>
    <row r="885" spans="1:10" s="150" customFormat="1" ht="28.8">
      <c r="B885" s="260" t="s">
        <v>1848</v>
      </c>
      <c r="C885" s="382">
        <v>92994</v>
      </c>
      <c r="D885" s="383" t="str">
        <f>COMPOSIÇÕES!B143</f>
        <v>SINAPI SP - 08/2023</v>
      </c>
      <c r="E885" s="344" t="s">
        <v>841</v>
      </c>
      <c r="F885" s="382" t="s">
        <v>412</v>
      </c>
      <c r="G885" s="317">
        <v>30</v>
      </c>
      <c r="H885" s="530">
        <f>VLOOKUP(C885,COMPOSIÇÕES!A:J,6,FALSE)</f>
        <v>105.42</v>
      </c>
      <c r="I885" s="287">
        <f>COMPOSIÇÕES!$J$143</f>
        <v>125.9769</v>
      </c>
      <c r="J885" s="384">
        <f t="shared" si="121"/>
        <v>3779.3069999999998</v>
      </c>
    </row>
    <row r="886" spans="1:10" s="150" customFormat="1" ht="28.8">
      <c r="B886" s="260" t="s">
        <v>1849</v>
      </c>
      <c r="C886" s="382">
        <v>93000</v>
      </c>
      <c r="D886" s="383" t="str">
        <f>COMPOSIÇÕES!B217</f>
        <v>SINAPI SP - 08/2023</v>
      </c>
      <c r="E886" s="344" t="s">
        <v>865</v>
      </c>
      <c r="F886" s="382" t="s">
        <v>412</v>
      </c>
      <c r="G886" s="317">
        <v>30</v>
      </c>
      <c r="H886" s="530">
        <f>VLOOKUP(C886,COMPOSIÇÕES!A:J,6,FALSE)</f>
        <v>205.75</v>
      </c>
      <c r="I886" s="287">
        <f>COMPOSIÇÕES!$J$217</f>
        <v>245.87125</v>
      </c>
      <c r="J886" s="384">
        <f t="shared" si="121"/>
        <v>7376.1374999999998</v>
      </c>
    </row>
    <row r="887" spans="1:10" s="150" customFormat="1" ht="28.8">
      <c r="B887" s="260" t="s">
        <v>1850</v>
      </c>
      <c r="C887" s="382">
        <v>93000</v>
      </c>
      <c r="D887" s="383" t="str">
        <f t="shared" ref="D887:D889" si="123">$D$886</f>
        <v>SINAPI SP - 08/2023</v>
      </c>
      <c r="E887" s="344" t="s">
        <v>866</v>
      </c>
      <c r="F887" s="382" t="s">
        <v>412</v>
      </c>
      <c r="G887" s="317">
        <v>30</v>
      </c>
      <c r="H887" s="530">
        <f>VLOOKUP(C887,COMPOSIÇÕES!A:J,6,FALSE)</f>
        <v>205.75</v>
      </c>
      <c r="I887" s="287">
        <f>COMPOSIÇÕES!$J$217</f>
        <v>245.87125</v>
      </c>
      <c r="J887" s="384">
        <f t="shared" si="121"/>
        <v>7376.1374999999998</v>
      </c>
    </row>
    <row r="888" spans="1:10" s="150" customFormat="1" ht="28.8">
      <c r="B888" s="260" t="s">
        <v>1851</v>
      </c>
      <c r="C888" s="382">
        <v>93000</v>
      </c>
      <c r="D888" s="383" t="str">
        <f t="shared" si="123"/>
        <v>SINAPI SP - 08/2023</v>
      </c>
      <c r="E888" s="344" t="s">
        <v>867</v>
      </c>
      <c r="F888" s="382" t="s">
        <v>412</v>
      </c>
      <c r="G888" s="317">
        <v>30</v>
      </c>
      <c r="H888" s="530">
        <f>VLOOKUP(C888,COMPOSIÇÕES!A:J,6,FALSE)</f>
        <v>205.75</v>
      </c>
      <c r="I888" s="287">
        <f>COMPOSIÇÕES!$J$217</f>
        <v>245.87125</v>
      </c>
      <c r="J888" s="384">
        <f t="shared" si="121"/>
        <v>7376.1374999999998</v>
      </c>
    </row>
    <row r="889" spans="1:10" s="150" customFormat="1" ht="28.8">
      <c r="B889" s="260" t="s">
        <v>1852</v>
      </c>
      <c r="C889" s="382">
        <v>93000</v>
      </c>
      <c r="D889" s="383" t="str">
        <f t="shared" si="123"/>
        <v>SINAPI SP - 08/2023</v>
      </c>
      <c r="E889" s="344" t="s">
        <v>868</v>
      </c>
      <c r="F889" s="382" t="s">
        <v>412</v>
      </c>
      <c r="G889" s="317">
        <v>30</v>
      </c>
      <c r="H889" s="530">
        <f>VLOOKUP(C889,COMPOSIÇÕES!A:J,6,FALSE)</f>
        <v>205.75</v>
      </c>
      <c r="I889" s="287">
        <f>COMPOSIÇÕES!$J$217</f>
        <v>245.87125</v>
      </c>
      <c r="J889" s="384">
        <f t="shared" ref="J889:J893" si="124">G889*I889</f>
        <v>7376.1374999999998</v>
      </c>
    </row>
    <row r="890" spans="1:10" s="150" customFormat="1">
      <c r="B890" s="260" t="s">
        <v>1853</v>
      </c>
      <c r="C890" s="383" t="str">
        <f>COMPOSIÇÕES!A144</f>
        <v>09.82.028</v>
      </c>
      <c r="D890" s="383" t="str">
        <f>COMPOSIÇÕES!B144</f>
        <v>FDE - 07/2023</v>
      </c>
      <c r="E890" s="344" t="s">
        <v>871</v>
      </c>
      <c r="F890" s="382" t="s">
        <v>431</v>
      </c>
      <c r="G890" s="317">
        <v>12</v>
      </c>
      <c r="H890" s="530">
        <f>VLOOKUP(C890,COMPOSIÇÕES!A:J,6,FALSE)</f>
        <v>28.62</v>
      </c>
      <c r="I890" s="287">
        <f>COMPOSIÇÕES!$J$144</f>
        <v>34.200900000000004</v>
      </c>
      <c r="J890" s="384">
        <f t="shared" si="124"/>
        <v>410.41080000000005</v>
      </c>
    </row>
    <row r="891" spans="1:10" s="150" customFormat="1">
      <c r="B891" s="260" t="s">
        <v>1854</v>
      </c>
      <c r="C891" s="383" t="str">
        <f>COMPOSIÇÕES!A145</f>
        <v>09.82.032</v>
      </c>
      <c r="D891" s="383" t="str">
        <f>COMPOSIÇÕES!B145</f>
        <v>FDE - 07/2023</v>
      </c>
      <c r="E891" s="344" t="s">
        <v>870</v>
      </c>
      <c r="F891" s="382" t="s">
        <v>431</v>
      </c>
      <c r="G891" s="317">
        <v>4</v>
      </c>
      <c r="H891" s="530">
        <f>VLOOKUP(C891,COMPOSIÇÕES!A:J,6,FALSE)</f>
        <v>56.55</v>
      </c>
      <c r="I891" s="287">
        <f>COMPOSIÇÕES!$J$145</f>
        <v>67.577249999999992</v>
      </c>
      <c r="J891" s="384">
        <f t="shared" si="124"/>
        <v>270.30899999999997</v>
      </c>
    </row>
    <row r="892" spans="1:10" s="150" customFormat="1">
      <c r="B892" s="260" t="s">
        <v>1855</v>
      </c>
      <c r="C892" s="382" t="s">
        <v>711</v>
      </c>
      <c r="D892" s="383" t="str">
        <f>COMPOSIÇÕES!B219</f>
        <v>FDE - 07/2023</v>
      </c>
      <c r="E892" s="344" t="s">
        <v>873</v>
      </c>
      <c r="F892" s="382" t="s">
        <v>431</v>
      </c>
      <c r="G892" s="317">
        <v>15</v>
      </c>
      <c r="H892" s="530">
        <f>COMPOSIÇÕES!F219</f>
        <v>62.84</v>
      </c>
      <c r="I892" s="287">
        <f>COMPOSIÇÕES!$J$219</f>
        <v>75.093800000000002</v>
      </c>
      <c r="J892" s="384">
        <f t="shared" si="124"/>
        <v>1126.4069999999999</v>
      </c>
    </row>
    <row r="893" spans="1:10" s="150" customFormat="1" ht="72">
      <c r="B893" s="260" t="s">
        <v>1856</v>
      </c>
      <c r="C893" s="275" t="s">
        <v>711</v>
      </c>
      <c r="D893" s="277" t="str">
        <f>COMPOSIÇÕES!B261</f>
        <v>CDHU - BOLETIM 191 + FDE - 07/2023 + SINAPI SP - 08/2023</v>
      </c>
      <c r="E893" s="281" t="s">
        <v>1030</v>
      </c>
      <c r="F893" s="275" t="s">
        <v>530</v>
      </c>
      <c r="G893" s="314">
        <v>1</v>
      </c>
      <c r="H893" s="301">
        <f>SUM(COMPOSIÇÕES!G262:G268)</f>
        <v>14405.695213389123</v>
      </c>
      <c r="I893" s="286">
        <f>COMPOSIÇÕES!$J$261</f>
        <v>17214.805779999999</v>
      </c>
      <c r="J893" s="295">
        <f t="shared" si="124"/>
        <v>17214.805779999999</v>
      </c>
    </row>
    <row r="894" spans="1:10" s="263" customFormat="1">
      <c r="B894" s="577" t="s">
        <v>657</v>
      </c>
      <c r="C894" s="578"/>
      <c r="D894" s="578"/>
      <c r="E894" s="578"/>
      <c r="F894" s="578"/>
      <c r="G894" s="578"/>
      <c r="H894" s="578"/>
      <c r="I894" s="578"/>
      <c r="J894" s="296">
        <f>SUM(J860:J893)</f>
        <v>131511.32201365853</v>
      </c>
    </row>
    <row r="895" spans="1:10" s="263" customFormat="1">
      <c r="B895" s="237" t="s">
        <v>1862</v>
      </c>
      <c r="C895" s="238"/>
      <c r="D895" s="533"/>
      <c r="E895" s="239" t="s">
        <v>650</v>
      </c>
      <c r="F895" s="238"/>
      <c r="G895" s="312"/>
      <c r="H895" s="300"/>
      <c r="I895" s="285"/>
      <c r="J895" s="294"/>
    </row>
    <row r="896" spans="1:10" s="276" customFormat="1">
      <c r="A896" s="263"/>
      <c r="B896" s="381" t="s">
        <v>1863</v>
      </c>
      <c r="C896" s="382" t="s">
        <v>708</v>
      </c>
      <c r="D896" s="383" t="str">
        <f>COMPOSIÇÕES!B115</f>
        <v>FDE - 07/2023</v>
      </c>
      <c r="E896" s="344" t="s">
        <v>651</v>
      </c>
      <c r="F896" s="382" t="s">
        <v>541</v>
      </c>
      <c r="G896" s="316">
        <v>100</v>
      </c>
      <c r="H896" s="290">
        <f>COMPOSIÇÕES!$G$116</f>
        <v>5.116260162601626</v>
      </c>
      <c r="I896" s="287">
        <f>COMPOSIÇÕES!$J$115</f>
        <v>6.1139308943089432</v>
      </c>
      <c r="J896" s="384">
        <f>G896*I896</f>
        <v>611.39308943089429</v>
      </c>
    </row>
    <row r="897" spans="1:10" s="263" customFormat="1">
      <c r="B897" s="577" t="s">
        <v>656</v>
      </c>
      <c r="C897" s="578"/>
      <c r="D897" s="578"/>
      <c r="E897" s="578"/>
      <c r="F897" s="578"/>
      <c r="G897" s="578"/>
      <c r="H897" s="578"/>
      <c r="I897" s="578"/>
      <c r="J897" s="296">
        <f>J896</f>
        <v>611.39308943089429</v>
      </c>
    </row>
    <row r="898" spans="1:10" s="263" customFormat="1" ht="25.5" customHeight="1" thickBot="1">
      <c r="B898" s="564" t="s">
        <v>660</v>
      </c>
      <c r="C898" s="565"/>
      <c r="D898" s="565"/>
      <c r="E898" s="565"/>
      <c r="F898" s="565"/>
      <c r="G898" s="565"/>
      <c r="H898" s="565"/>
      <c r="I898" s="566"/>
      <c r="J898" s="297">
        <f>J837+J858+J894+J897</f>
        <v>262464.6741227294</v>
      </c>
    </row>
    <row r="899" spans="1:10" s="147" customFormat="1">
      <c r="B899" s="264" t="s">
        <v>1864</v>
      </c>
      <c r="C899" s="265"/>
      <c r="D899" s="534"/>
      <c r="E899" s="266" t="s">
        <v>532</v>
      </c>
      <c r="F899" s="265"/>
      <c r="G899" s="310"/>
      <c r="H899" s="298"/>
      <c r="I899" s="283"/>
      <c r="J899" s="292"/>
    </row>
    <row r="900" spans="1:10" s="147" customFormat="1" ht="6" customHeight="1">
      <c r="B900" s="234"/>
      <c r="C900" s="235"/>
      <c r="D900" s="532"/>
      <c r="E900" s="236"/>
      <c r="F900" s="235"/>
      <c r="G900" s="311"/>
      <c r="H900" s="299"/>
      <c r="I900" s="284"/>
      <c r="J900" s="293"/>
    </row>
    <row r="901" spans="1:10" s="261" customFormat="1">
      <c r="B901" s="237" t="s">
        <v>1865</v>
      </c>
      <c r="C901" s="238"/>
      <c r="D901" s="533"/>
      <c r="E901" s="239" t="s">
        <v>483</v>
      </c>
      <c r="F901" s="238"/>
      <c r="G901" s="312"/>
      <c r="H901" s="300"/>
      <c r="I901" s="285"/>
      <c r="J901" s="294"/>
    </row>
    <row r="902" spans="1:10" s="150" customFormat="1">
      <c r="B902" s="381" t="s">
        <v>1866</v>
      </c>
      <c r="C902" s="382" t="str">
        <f t="shared" ref="C902:I903" si="125">C765</f>
        <v>16.06.076</v>
      </c>
      <c r="D902" s="383" t="str">
        <f t="shared" si="125"/>
        <v>FDE - 07/2023</v>
      </c>
      <c r="E902" s="344" t="str">
        <f t="shared" si="125"/>
        <v>FORNECIMENTO E INSTALAÇAO DE PLACAS DE OBRA</v>
      </c>
      <c r="F902" s="382" t="str">
        <f t="shared" si="125"/>
        <v>M²</v>
      </c>
      <c r="G902" s="316">
        <f t="shared" si="125"/>
        <v>5</v>
      </c>
      <c r="H902" s="290">
        <f t="shared" si="125"/>
        <v>407.8057</v>
      </c>
      <c r="I902" s="287">
        <f t="shared" si="125"/>
        <v>487.3278115</v>
      </c>
      <c r="J902" s="384">
        <f>G902*I902</f>
        <v>2436.6390575</v>
      </c>
    </row>
    <row r="903" spans="1:10" s="150" customFormat="1" ht="28.8">
      <c r="B903" s="381" t="s">
        <v>1867</v>
      </c>
      <c r="C903" s="382">
        <f t="shared" si="125"/>
        <v>37524</v>
      </c>
      <c r="D903" s="383" t="str">
        <f t="shared" si="125"/>
        <v>SINAPI SP - 08/2023</v>
      </c>
      <c r="E903" s="344" t="str">
        <f t="shared" si="125"/>
        <v>TELA PLASTICA LARANJA, TIPO TAPUME PARA SINALIZACAO, MALHA RETANGULAR, ROLO 1.20 X 50 M (L X C)</v>
      </c>
      <c r="F903" s="382" t="str">
        <f t="shared" si="125"/>
        <v>M²</v>
      </c>
      <c r="G903" s="316">
        <f t="shared" si="125"/>
        <v>40</v>
      </c>
      <c r="H903" s="290">
        <f t="shared" si="125"/>
        <v>2</v>
      </c>
      <c r="I903" s="287">
        <f t="shared" si="125"/>
        <v>2.39</v>
      </c>
      <c r="J903" s="384">
        <f>G903*I903</f>
        <v>95.600000000000009</v>
      </c>
    </row>
    <row r="904" spans="1:10" s="261" customFormat="1">
      <c r="B904" s="577" t="s">
        <v>1914</v>
      </c>
      <c r="C904" s="578"/>
      <c r="D904" s="578"/>
      <c r="E904" s="578"/>
      <c r="F904" s="578"/>
      <c r="G904" s="578"/>
      <c r="H904" s="578"/>
      <c r="I904" s="578"/>
      <c r="J904" s="296">
        <f>SUM(J902:J903)</f>
        <v>2532.2390574999999</v>
      </c>
    </row>
    <row r="905" spans="1:10" s="147" customFormat="1">
      <c r="B905" s="237" t="s">
        <v>1868</v>
      </c>
      <c r="C905" s="238"/>
      <c r="D905" s="533"/>
      <c r="E905" s="239" t="s">
        <v>525</v>
      </c>
      <c r="F905" s="238"/>
      <c r="G905" s="312"/>
      <c r="H905" s="300"/>
      <c r="I905" s="285"/>
      <c r="J905" s="294"/>
    </row>
    <row r="906" spans="1:10" s="276" customFormat="1" ht="28.8">
      <c r="B906" s="381" t="s">
        <v>1869</v>
      </c>
      <c r="C906" s="382" t="s">
        <v>711</v>
      </c>
      <c r="D906" s="383" t="str">
        <f>COMPOSIÇÕES!B10</f>
        <v>SINAPI SP - 08/2023</v>
      </c>
      <c r="E906" s="487" t="s">
        <v>2404</v>
      </c>
      <c r="F906" s="382" t="s">
        <v>431</v>
      </c>
      <c r="G906" s="315">
        <v>29</v>
      </c>
      <c r="H906" s="290">
        <f>SUM(COMPOSIÇÕES!G11:G13)</f>
        <v>328.17395199999999</v>
      </c>
      <c r="I906" s="287">
        <f>COMPOSIÇÕES!J10</f>
        <v>392.16787263999993</v>
      </c>
      <c r="J906" s="384">
        <f t="shared" ref="J906" si="126">G906*I906</f>
        <v>11372.868306559998</v>
      </c>
    </row>
    <row r="907" spans="1:10" s="150" customFormat="1" ht="86.4">
      <c r="B907" s="381" t="s">
        <v>1870</v>
      </c>
      <c r="C907" s="382" t="s">
        <v>711</v>
      </c>
      <c r="D907" s="383" t="str">
        <f>COMPOSIÇÕES!B14</f>
        <v>SINAPI SP - 08/2023</v>
      </c>
      <c r="E907" s="344" t="s">
        <v>754</v>
      </c>
      <c r="F907" s="382" t="s">
        <v>412</v>
      </c>
      <c r="G907" s="317">
        <v>25</v>
      </c>
      <c r="H907" s="290">
        <f>SUM(COMPOSIÇÕES!G15:G18)</f>
        <v>37.264400000000002</v>
      </c>
      <c r="I907" s="287">
        <f>COMPOSIÇÕES!J14</f>
        <v>44.530958000000005</v>
      </c>
      <c r="J907" s="384">
        <f>G907*I907</f>
        <v>1113.2739500000002</v>
      </c>
    </row>
    <row r="908" spans="1:10" s="150" customFormat="1" ht="86.4">
      <c r="B908" s="381" t="s">
        <v>1871</v>
      </c>
      <c r="C908" s="382" t="s">
        <v>711</v>
      </c>
      <c r="D908" s="383" t="str">
        <f>COMPOSIÇÕES!B19</f>
        <v>SINAPI SP - 08/2023</v>
      </c>
      <c r="E908" s="344" t="s">
        <v>755</v>
      </c>
      <c r="F908" s="382" t="s">
        <v>412</v>
      </c>
      <c r="G908" s="317">
        <v>25</v>
      </c>
      <c r="H908" s="290">
        <f>SUM(COMPOSIÇÕES!G20:G23)</f>
        <v>69.234999999999985</v>
      </c>
      <c r="I908" s="287">
        <f>COMPOSIÇÕES!$J$19</f>
        <v>82.735824999999991</v>
      </c>
      <c r="J908" s="384">
        <f t="shared" ref="J908:J911" si="127">G908*I908</f>
        <v>2068.3956249999997</v>
      </c>
    </row>
    <row r="909" spans="1:10" s="150" customFormat="1" ht="86.4">
      <c r="B909" s="381" t="s">
        <v>1872</v>
      </c>
      <c r="C909" s="382" t="s">
        <v>711</v>
      </c>
      <c r="D909" s="383" t="str">
        <f>COMPOSIÇÕES!B24</f>
        <v>SINAPI SP - 08/2023</v>
      </c>
      <c r="E909" s="344" t="s">
        <v>747</v>
      </c>
      <c r="F909" s="382" t="s">
        <v>412</v>
      </c>
      <c r="G909" s="317">
        <v>105</v>
      </c>
      <c r="H909" s="290">
        <f>SUM(COMPOSIÇÕES!G25:G28)</f>
        <v>53.322000000000003</v>
      </c>
      <c r="I909" s="287">
        <f>COMPOSIÇÕES!$J$24</f>
        <v>63.719789999999996</v>
      </c>
      <c r="J909" s="384">
        <f t="shared" si="127"/>
        <v>6690.5779499999999</v>
      </c>
    </row>
    <row r="910" spans="1:10" s="393" customFormat="1" ht="86.4">
      <c r="A910" s="150"/>
      <c r="B910" s="381" t="s">
        <v>1873</v>
      </c>
      <c r="C910" s="394" t="s">
        <v>711</v>
      </c>
      <c r="D910" s="389" t="str">
        <f>COMPOSIÇÕES!B29</f>
        <v xml:space="preserve">SINAPI SP - 08/2023 </v>
      </c>
      <c r="E910" s="395" t="s">
        <v>748</v>
      </c>
      <c r="F910" s="394" t="s">
        <v>412</v>
      </c>
      <c r="G910" s="315">
        <v>105</v>
      </c>
      <c r="H910" s="392">
        <f>SUM(COMPOSIÇÕES!G30:G33)</f>
        <v>85.438000000000002</v>
      </c>
      <c r="I910" s="396">
        <f>COMPOSIÇÕES!$J$29</f>
        <v>102.09840999999999</v>
      </c>
      <c r="J910" s="397">
        <f t="shared" si="127"/>
        <v>10720.333049999999</v>
      </c>
    </row>
    <row r="911" spans="1:10" s="393" customFormat="1" ht="28.8">
      <c r="A911" s="150"/>
      <c r="B911" s="381" t="s">
        <v>1874</v>
      </c>
      <c r="C911" s="394" t="str">
        <f t="shared" ref="C911:I911" si="128">C844</f>
        <v>22.02.030</v>
      </c>
      <c r="D911" s="389" t="str">
        <f t="shared" si="128"/>
        <v>CDHU - BOLETIM 191</v>
      </c>
      <c r="E911" s="395" t="str">
        <f t="shared" si="128"/>
        <v>Forro em painéis de gesso acartonado, espessura de 12,5mm, fixo</v>
      </c>
      <c r="F911" s="394" t="str">
        <f t="shared" si="128"/>
        <v>M²</v>
      </c>
      <c r="G911" s="315">
        <f>7.2*0.55*2*17</f>
        <v>134.64000000000001</v>
      </c>
      <c r="H911" s="392">
        <f t="shared" si="128"/>
        <v>99.47</v>
      </c>
      <c r="I911" s="396">
        <f t="shared" si="128"/>
        <v>118.86664999999999</v>
      </c>
      <c r="J911" s="397">
        <f t="shared" si="127"/>
        <v>16004.205756000001</v>
      </c>
    </row>
    <row r="912" spans="1:10" s="150" customFormat="1" ht="57.6">
      <c r="B912" s="381" t="s">
        <v>1875</v>
      </c>
      <c r="C912" s="382" t="s">
        <v>711</v>
      </c>
      <c r="D912" s="383" t="str">
        <f>COMPOSIÇÕES!B36</f>
        <v xml:space="preserve">SINAPI SP - 08/2023 </v>
      </c>
      <c r="E912" s="398" t="s">
        <v>756</v>
      </c>
      <c r="F912" s="382" t="s">
        <v>413</v>
      </c>
      <c r="G912" s="315">
        <v>685</v>
      </c>
      <c r="H912" s="287">
        <f>SUM(COMPOSIÇÕES!G37:G39)</f>
        <v>84.94</v>
      </c>
      <c r="I912" s="287">
        <f>COMPOSIÇÕES!$J$36</f>
        <v>101.5033</v>
      </c>
      <c r="J912" s="384">
        <f t="shared" ref="J912:J919" si="129">G912*I912</f>
        <v>69529.760500000004</v>
      </c>
    </row>
    <row r="913" spans="1:10" s="335" customFormat="1" ht="28.8">
      <c r="A913" s="150"/>
      <c r="B913" s="381" t="s">
        <v>1876</v>
      </c>
      <c r="C913" s="383" t="str">
        <f>COMPOSIÇÕES!A44</f>
        <v>61.10.565</v>
      </c>
      <c r="D913" s="383" t="str">
        <f>COMPOSIÇÕES!B44</f>
        <v>CDHU - BOLETIM 191</v>
      </c>
      <c r="E913" s="388" t="s">
        <v>1042</v>
      </c>
      <c r="F913" s="382" t="s">
        <v>431</v>
      </c>
      <c r="G913" s="315">
        <v>12</v>
      </c>
      <c r="H913" s="287">
        <f>SUM(COMPOSIÇÕES!G45)</f>
        <v>248.91654375000002</v>
      </c>
      <c r="I913" s="287">
        <f>COMPOSIÇÕES!$J$44</f>
        <v>297.45526978125002</v>
      </c>
      <c r="J913" s="384">
        <f t="shared" si="129"/>
        <v>3569.4632373750001</v>
      </c>
    </row>
    <row r="914" spans="1:10" s="335" customFormat="1" ht="28.8">
      <c r="A914" s="150"/>
      <c r="B914" s="381" t="s">
        <v>1877</v>
      </c>
      <c r="C914" s="383" t="str">
        <f>COMPOSIÇÕES!A46</f>
        <v>61.10.564</v>
      </c>
      <c r="D914" s="383" t="str">
        <f>COMPOSIÇÕES!B46</f>
        <v>CDHU - BOLETIM 191</v>
      </c>
      <c r="E914" s="388" t="s">
        <v>1043</v>
      </c>
      <c r="F914" s="382" t="s">
        <v>431</v>
      </c>
      <c r="G914" s="315">
        <v>2</v>
      </c>
      <c r="H914" s="287">
        <f>COMPOSIÇÕES!G47</f>
        <v>49.947131250000005</v>
      </c>
      <c r="I914" s="287">
        <f>COMPOSIÇÕES!$J$46</f>
        <v>59.68682184375001</v>
      </c>
      <c r="J914" s="384">
        <f t="shared" si="129"/>
        <v>119.37364368750002</v>
      </c>
    </row>
    <row r="915" spans="1:10" s="335" customFormat="1" ht="28.8">
      <c r="A915" s="150"/>
      <c r="B915" s="381" t="s">
        <v>1878</v>
      </c>
      <c r="C915" s="383" t="str">
        <f>COMPOSIÇÕES!A48</f>
        <v>61.10.564</v>
      </c>
      <c r="D915" s="383" t="str">
        <f>COMPOSIÇÕES!B48</f>
        <v>CDHU - BOLETIM 191</v>
      </c>
      <c r="E915" s="388" t="s">
        <v>1044</v>
      </c>
      <c r="F915" s="382" t="s">
        <v>431</v>
      </c>
      <c r="G915" s="315">
        <v>3</v>
      </c>
      <c r="H915" s="287">
        <f>COMPOSIÇÕES!G49</f>
        <v>82.875240000000005</v>
      </c>
      <c r="I915" s="287">
        <f>COMPOSIÇÕES!$J$48</f>
        <v>99.035911800000008</v>
      </c>
      <c r="J915" s="384">
        <f t="shared" si="129"/>
        <v>297.10773540000002</v>
      </c>
    </row>
    <row r="916" spans="1:10" s="150" customFormat="1" ht="28.8">
      <c r="B916" s="381" t="s">
        <v>1879</v>
      </c>
      <c r="C916" s="383" t="str">
        <f>COMPOSIÇÕES!A122</f>
        <v>61.10.581</v>
      </c>
      <c r="D916" s="383" t="str">
        <f>COMPOSIÇÕES!B122</f>
        <v>CDHU - BOLETIM 191</v>
      </c>
      <c r="E916" s="388" t="s">
        <v>809</v>
      </c>
      <c r="F916" s="382" t="s">
        <v>431</v>
      </c>
      <c r="G916" s="317">
        <v>3</v>
      </c>
      <c r="H916" s="287">
        <f>COMPOSIÇÕES!G123</f>
        <v>33.890000000000008</v>
      </c>
      <c r="I916" s="287">
        <f>COMPOSIÇÕES!$J$122</f>
        <v>40.498550000000009</v>
      </c>
      <c r="J916" s="384">
        <f t="shared" si="129"/>
        <v>121.49565000000003</v>
      </c>
    </row>
    <row r="917" spans="1:10" s="150" customFormat="1" ht="28.8">
      <c r="B917" s="381" t="s">
        <v>1880</v>
      </c>
      <c r="C917" s="383" t="str">
        <f>COMPOSIÇÕES!A124</f>
        <v>61.10.581</v>
      </c>
      <c r="D917" s="383" t="str">
        <f>COMPOSIÇÕES!B124</f>
        <v>CDHU - BOLETIM 191</v>
      </c>
      <c r="E917" s="388" t="s">
        <v>1119</v>
      </c>
      <c r="F917" s="382" t="s">
        <v>431</v>
      </c>
      <c r="G917" s="317">
        <v>12</v>
      </c>
      <c r="H917" s="287">
        <f>SUM(COMPOSIÇÕES!$G$125:$G$125)</f>
        <v>203.34</v>
      </c>
      <c r="I917" s="287">
        <f>COMPOSIÇÕES!$J$124</f>
        <v>242.9913</v>
      </c>
      <c r="J917" s="384">
        <f t="shared" si="129"/>
        <v>2915.8955999999998</v>
      </c>
    </row>
    <row r="918" spans="1:10" s="150" customFormat="1" ht="28.8">
      <c r="B918" s="381" t="s">
        <v>1881</v>
      </c>
      <c r="C918" s="383" t="str">
        <f>COMPOSIÇÕES!A56</f>
        <v>61.10.581</v>
      </c>
      <c r="D918" s="383" t="str">
        <f>COMPOSIÇÕES!B56</f>
        <v>CDHU - BOLETIM 191</v>
      </c>
      <c r="E918" s="388" t="s">
        <v>1117</v>
      </c>
      <c r="F918" s="382" t="s">
        <v>431</v>
      </c>
      <c r="G918" s="315">
        <v>2</v>
      </c>
      <c r="H918" s="287">
        <f>SUM(COMPOSIÇÕES!G57)</f>
        <v>16.945000000000004</v>
      </c>
      <c r="I918" s="287">
        <f>COMPOSIÇÕES!$J$56</f>
        <v>20.249275000000004</v>
      </c>
      <c r="J918" s="384">
        <f t="shared" si="129"/>
        <v>40.498550000000009</v>
      </c>
    </row>
    <row r="919" spans="1:10" s="150" customFormat="1" ht="28.8">
      <c r="A919" s="271"/>
      <c r="B919" s="381" t="s">
        <v>1882</v>
      </c>
      <c r="C919" s="382" t="s">
        <v>711</v>
      </c>
      <c r="D919" s="383" t="str">
        <f>COMPOSIÇÕES!B58</f>
        <v xml:space="preserve">SINAPI SP - 08/2023 </v>
      </c>
      <c r="E919" s="388" t="s">
        <v>758</v>
      </c>
      <c r="F919" s="382" t="s">
        <v>412</v>
      </c>
      <c r="G919" s="315">
        <v>200</v>
      </c>
      <c r="H919" s="287">
        <f>SUM(COMPOSIÇÕES!G59:G61)</f>
        <v>31.499000000000002</v>
      </c>
      <c r="I919" s="287">
        <f>COMPOSIÇÕES!$J$58</f>
        <v>37.641304999999996</v>
      </c>
      <c r="J919" s="384">
        <f t="shared" si="129"/>
        <v>7528.2609999999995</v>
      </c>
    </row>
    <row r="920" spans="1:10" s="150" customFormat="1" ht="28.8">
      <c r="A920" s="271"/>
      <c r="B920" s="381" t="s">
        <v>1883</v>
      </c>
      <c r="C920" s="382" t="s">
        <v>711</v>
      </c>
      <c r="D920" s="383" t="str">
        <f>COMPOSIÇÕES!B64</f>
        <v>SINAPI SP - 08/2023</v>
      </c>
      <c r="E920" s="388" t="s">
        <v>697</v>
      </c>
      <c r="F920" s="382" t="s">
        <v>431</v>
      </c>
      <c r="G920" s="315">
        <v>30</v>
      </c>
      <c r="H920" s="287">
        <f>SUM(COMPOSIÇÕES!$G$65:$G$67)</f>
        <v>92.32</v>
      </c>
      <c r="I920" s="287">
        <f>COMPOSIÇÕES!$J$64</f>
        <v>110.32240000000002</v>
      </c>
      <c r="J920" s="384">
        <f>I920*G920</f>
        <v>3309.6720000000005</v>
      </c>
    </row>
    <row r="921" spans="1:10" s="150" customFormat="1" ht="28.8">
      <c r="A921" s="271"/>
      <c r="B921" s="381" t="s">
        <v>1884</v>
      </c>
      <c r="C921" s="382" t="s">
        <v>711</v>
      </c>
      <c r="D921" s="383" t="str">
        <f>COMPOSIÇÕES!B68</f>
        <v xml:space="preserve">SINAPI SP - 08/2023 </v>
      </c>
      <c r="E921" s="388" t="s">
        <v>762</v>
      </c>
      <c r="F921" s="382" t="s">
        <v>415</v>
      </c>
      <c r="G921" s="315">
        <v>8</v>
      </c>
      <c r="H921" s="287">
        <f>SUM(COMPOSIÇÕES!$G$69:$G$70)</f>
        <v>58.91</v>
      </c>
      <c r="I921" s="287">
        <f>COMPOSIÇÕES!$J$68</f>
        <v>70.397449999999992</v>
      </c>
      <c r="J921" s="384">
        <f>I921*G921</f>
        <v>563.17959999999994</v>
      </c>
    </row>
    <row r="922" spans="1:10" s="150" customFormat="1" ht="28.8">
      <c r="A922" s="271"/>
      <c r="B922" s="381" t="s">
        <v>1885</v>
      </c>
      <c r="C922" s="399" t="s">
        <v>763</v>
      </c>
      <c r="D922" s="273" t="str">
        <f>COMPOSIÇÕES!B71</f>
        <v xml:space="preserve">SINAPI SP - 08/2023 </v>
      </c>
      <c r="E922" s="400" t="s">
        <v>761</v>
      </c>
      <c r="F922" s="273" t="s">
        <v>541</v>
      </c>
      <c r="G922" s="316">
        <v>2</v>
      </c>
      <c r="H922" s="287">
        <f>SUM(COMPOSIÇÕES!$G$72:$G$72)</f>
        <v>28.8</v>
      </c>
      <c r="I922" s="287">
        <f>COMPOSIÇÕES!$J$71</f>
        <v>34.416000000000004</v>
      </c>
      <c r="J922" s="384">
        <f>I922*G922</f>
        <v>68.832000000000008</v>
      </c>
    </row>
    <row r="923" spans="1:10" s="150" customFormat="1">
      <c r="A923" s="271"/>
      <c r="B923" s="381" t="s">
        <v>2417</v>
      </c>
      <c r="C923" s="399" t="s">
        <v>759</v>
      </c>
      <c r="D923" s="273" t="str">
        <f>COMPOSIÇÕES!B73</f>
        <v>FDE - 07/2023</v>
      </c>
      <c r="E923" s="400" t="s">
        <v>760</v>
      </c>
      <c r="F923" s="273" t="s">
        <v>701</v>
      </c>
      <c r="G923" s="316">
        <v>1</v>
      </c>
      <c r="H923" s="530">
        <f>VLOOKUP(C923,COMPOSIÇÕES!A:J,6,FALSE)</f>
        <v>38.485355648535567</v>
      </c>
      <c r="I923" s="287">
        <f>COMPOSIÇÕES!$J$73</f>
        <v>45.99</v>
      </c>
      <c r="J923" s="384">
        <f>I923*G923</f>
        <v>45.99</v>
      </c>
    </row>
    <row r="924" spans="1:10" s="150" customFormat="1">
      <c r="A924" s="271"/>
      <c r="B924" s="381" t="s">
        <v>2449</v>
      </c>
      <c r="C924" s="399" t="s">
        <v>764</v>
      </c>
      <c r="D924" s="273" t="str">
        <f>COMPOSIÇÕES!B74</f>
        <v>FDE - 07/2023</v>
      </c>
      <c r="E924" s="400" t="s">
        <v>765</v>
      </c>
      <c r="F924" s="273" t="s">
        <v>541</v>
      </c>
      <c r="G924" s="316">
        <v>3</v>
      </c>
      <c r="H924" s="530">
        <f>VLOOKUP(C924,COMPOSIÇÕES!A:J,6,FALSE)</f>
        <v>210.81171548117152</v>
      </c>
      <c r="I924" s="287">
        <f>COMPOSIÇÕES!$J$74</f>
        <v>251.91999999999996</v>
      </c>
      <c r="J924" s="384">
        <f>I924*G924</f>
        <v>755.75999999999988</v>
      </c>
    </row>
    <row r="925" spans="1:10" s="263" customFormat="1">
      <c r="B925" s="579" t="s">
        <v>1915</v>
      </c>
      <c r="C925" s="580"/>
      <c r="D925" s="580"/>
      <c r="E925" s="580"/>
      <c r="F925" s="580"/>
      <c r="G925" s="580"/>
      <c r="H925" s="580"/>
      <c r="I925" s="581"/>
      <c r="J925" s="296">
        <f>SUM(J906:J924)</f>
        <v>136834.94415402252</v>
      </c>
    </row>
    <row r="926" spans="1:10" s="147" customFormat="1">
      <c r="B926" s="237" t="s">
        <v>1888</v>
      </c>
      <c r="C926" s="238"/>
      <c r="D926" s="533"/>
      <c r="E926" s="239" t="s">
        <v>526</v>
      </c>
      <c r="F926" s="238"/>
      <c r="G926" s="312"/>
      <c r="H926" s="300"/>
      <c r="I926" s="285"/>
      <c r="J926" s="294"/>
    </row>
    <row r="927" spans="1:10" s="276" customFormat="1">
      <c r="A927" s="263"/>
      <c r="B927" s="381" t="s">
        <v>1889</v>
      </c>
      <c r="C927" s="382" t="s">
        <v>711</v>
      </c>
      <c r="D927" s="383" t="str">
        <f>COMPOSIÇÕES!B75</f>
        <v>FDE - 07/2023</v>
      </c>
      <c r="E927" s="344" t="s">
        <v>745</v>
      </c>
      <c r="F927" s="382" t="s">
        <v>431</v>
      </c>
      <c r="G927" s="316">
        <v>61</v>
      </c>
      <c r="H927" s="290">
        <f>SUM(COMPOSIÇÕES!G76:G78)</f>
        <v>34.013252032520327</v>
      </c>
      <c r="I927" s="287">
        <f>COMPOSIÇÕES!$J$75</f>
        <v>40.645836178861792</v>
      </c>
      <c r="J927" s="384">
        <f t="shared" ref="J927:J949" si="130">G927*I927</f>
        <v>2479.3960069105692</v>
      </c>
    </row>
    <row r="928" spans="1:10" s="276" customFormat="1" ht="28.8">
      <c r="A928" s="263"/>
      <c r="B928" s="381" t="s">
        <v>1890</v>
      </c>
      <c r="C928" s="382" t="s">
        <v>711</v>
      </c>
      <c r="D928" s="383" t="str">
        <f>COMPOSIÇÕES!B136</f>
        <v>FDE - 07/2023</v>
      </c>
      <c r="E928" s="344" t="s">
        <v>816</v>
      </c>
      <c r="F928" s="382" t="s">
        <v>431</v>
      </c>
      <c r="G928" s="316">
        <v>2</v>
      </c>
      <c r="H928" s="290">
        <f>SUM(COMPOSIÇÕES!G137:G139)</f>
        <v>28.625999999999998</v>
      </c>
      <c r="I928" s="287">
        <f>COMPOSIÇÕES!$J$136</f>
        <v>34.208069999999999</v>
      </c>
      <c r="J928" s="384">
        <f t="shared" si="130"/>
        <v>68.416139999999999</v>
      </c>
    </row>
    <row r="929" spans="1:10" s="276" customFormat="1">
      <c r="A929" s="263"/>
      <c r="B929" s="381" t="s">
        <v>1891</v>
      </c>
      <c r="C929" s="382" t="s">
        <v>739</v>
      </c>
      <c r="D929" s="383" t="str">
        <f>COMPOSIÇÕES!B83</f>
        <v>FDE - 07/2023</v>
      </c>
      <c r="E929" s="344" t="s">
        <v>766</v>
      </c>
      <c r="F929" s="382" t="s">
        <v>431</v>
      </c>
      <c r="G929" s="316">
        <v>34</v>
      </c>
      <c r="H929" s="530">
        <f>VLOOKUP(C929,COMPOSIÇÕES!A:J,6,FALSE)</f>
        <v>32.35146443514644</v>
      </c>
      <c r="I929" s="287">
        <f>COMPOSIÇÕES!$J$83</f>
        <v>38.659999999999997</v>
      </c>
      <c r="J929" s="384">
        <f t="shared" si="130"/>
        <v>1314.4399999999998</v>
      </c>
    </row>
    <row r="930" spans="1:10" s="276" customFormat="1">
      <c r="A930" s="263"/>
      <c r="B930" s="381" t="s">
        <v>1892</v>
      </c>
      <c r="C930" s="382" t="s">
        <v>739</v>
      </c>
      <c r="D930" s="535" t="str">
        <f>VLOOKUP(C930,COMPOSIÇÕES!A:J,2,FALSE)</f>
        <v>FDE - 07/2023</v>
      </c>
      <c r="E930" s="344" t="s">
        <v>767</v>
      </c>
      <c r="F930" s="382" t="s">
        <v>431</v>
      </c>
      <c r="G930" s="316">
        <v>15</v>
      </c>
      <c r="H930" s="530">
        <f>VLOOKUP(C930,COMPOSIÇÕES!A:J,6,FALSE)</f>
        <v>32.35146443514644</v>
      </c>
      <c r="I930" s="287">
        <f>COMPOSIÇÕES!$J$83</f>
        <v>38.659999999999997</v>
      </c>
      <c r="J930" s="384">
        <f t="shared" si="130"/>
        <v>579.9</v>
      </c>
    </row>
    <row r="931" spans="1:10" s="276" customFormat="1" ht="43.2">
      <c r="A931" s="263"/>
      <c r="B931" s="381" t="s">
        <v>1893</v>
      </c>
      <c r="C931" s="382" t="s">
        <v>711</v>
      </c>
      <c r="D931" s="383" t="str">
        <f>COMPOSIÇÕES!B85</f>
        <v>FDE - 07/2023 + SINAPI SP - 08/2023</v>
      </c>
      <c r="E931" s="344" t="s">
        <v>737</v>
      </c>
      <c r="F931" s="382" t="s">
        <v>431</v>
      </c>
      <c r="G931" s="316">
        <v>3</v>
      </c>
      <c r="H931" s="290">
        <f>SUM(COMPOSIÇÕES!G86:G88)</f>
        <v>187.64000000000001</v>
      </c>
      <c r="I931" s="287">
        <f>COMPOSIÇÕES!$J$85</f>
        <v>224.22980000000001</v>
      </c>
      <c r="J931" s="384">
        <f t="shared" si="130"/>
        <v>672.68939999999998</v>
      </c>
    </row>
    <row r="932" spans="1:10" s="276" customFormat="1">
      <c r="A932" s="263"/>
      <c r="B932" s="381" t="s">
        <v>1894</v>
      </c>
      <c r="C932" s="382" t="s">
        <v>735</v>
      </c>
      <c r="D932" s="383" t="s">
        <v>2474</v>
      </c>
      <c r="E932" s="344" t="s">
        <v>736</v>
      </c>
      <c r="F932" s="382" t="s">
        <v>431</v>
      </c>
      <c r="G932" s="316">
        <v>226</v>
      </c>
      <c r="H932" s="530">
        <f>VLOOKUP(C932,COMPOSIÇÕES!A:J,6,FALSE)</f>
        <v>7.8158995815899575</v>
      </c>
      <c r="I932" s="287">
        <f>COMPOSIÇÕES!$J$89</f>
        <v>9.34</v>
      </c>
      <c r="J932" s="384">
        <f t="shared" si="130"/>
        <v>2110.84</v>
      </c>
    </row>
    <row r="933" spans="1:10" s="276" customFormat="1" ht="28.8">
      <c r="A933" s="263"/>
      <c r="B933" s="381" t="s">
        <v>1895</v>
      </c>
      <c r="C933" s="383" t="str">
        <f>COMPOSIÇÕES!A91</f>
        <v>38.21.920</v>
      </c>
      <c r="D933" s="383" t="str">
        <f>COMPOSIÇÕES!B91</f>
        <v>CDHU - BOLETIM 191</v>
      </c>
      <c r="E933" s="388" t="str">
        <f>COMPOSIÇÕES!C91</f>
        <v>Eletrocalha perfurada galvanizada a fogo, 100 x 50 mm, com acessórios</v>
      </c>
      <c r="F933" s="382" t="s">
        <v>412</v>
      </c>
      <c r="G933" s="316">
        <f>49*3</f>
        <v>147</v>
      </c>
      <c r="H933" s="530">
        <f>VLOOKUP(C933,COMPOSIÇÕES!A:J,6,FALSE)</f>
        <v>98.38</v>
      </c>
      <c r="I933" s="287">
        <f>COMPOSIÇÕES!$J$91</f>
        <v>117.5641</v>
      </c>
      <c r="J933" s="384">
        <f t="shared" si="130"/>
        <v>17281.922699999999</v>
      </c>
    </row>
    <row r="934" spans="1:10" s="276" customFormat="1" ht="28.8">
      <c r="A934" s="263"/>
      <c r="B934" s="381" t="s">
        <v>1896</v>
      </c>
      <c r="C934" s="383" t="str">
        <f>COMPOSIÇÕES!A92</f>
        <v>38.06.040</v>
      </c>
      <c r="D934" s="383" t="str">
        <f>COMPOSIÇÕES!B92</f>
        <v>CDHU - BOLETIM 191</v>
      </c>
      <c r="E934" s="388" t="str">
        <f>COMPOSIÇÕES!C92</f>
        <v>Eletroduto galvanizado a quente conforme NBR5598 ‐ 3/4´ com acessórios</v>
      </c>
      <c r="F934" s="382" t="s">
        <v>412</v>
      </c>
      <c r="G934" s="316">
        <f>34*3</f>
        <v>102</v>
      </c>
      <c r="H934" s="530">
        <f>VLOOKUP(C934,COMPOSIÇÕES!A:J,6,FALSE)</f>
        <v>60.65</v>
      </c>
      <c r="I934" s="287">
        <f>COMPOSIÇÕES!$J$92</f>
        <v>72.476749999999996</v>
      </c>
      <c r="J934" s="384">
        <f t="shared" si="130"/>
        <v>7392.6284999999998</v>
      </c>
    </row>
    <row r="935" spans="1:10" s="276" customFormat="1" ht="28.8">
      <c r="A935" s="263"/>
      <c r="B935" s="381" t="s">
        <v>1897</v>
      </c>
      <c r="C935" s="383" t="str">
        <f>COMPOSIÇÕES!A94</f>
        <v>38.06.180</v>
      </c>
      <c r="D935" s="383" t="str">
        <f>COMPOSIÇÕES!B94</f>
        <v>CDHU - BOLETIM 191</v>
      </c>
      <c r="E935" s="388" t="str">
        <f>COMPOSIÇÕES!C94</f>
        <v>Eletroduto galvanizado a quente conforme NBR5598 ‐ 4´ com acessórios</v>
      </c>
      <c r="F935" s="382" t="s">
        <v>412</v>
      </c>
      <c r="G935" s="316">
        <v>5</v>
      </c>
      <c r="H935" s="530">
        <f>VLOOKUP(C935,COMPOSIÇÕES!A:J,6,FALSE)</f>
        <v>305.01</v>
      </c>
      <c r="I935" s="287">
        <f>COMPOSIÇÕES!$J$94</f>
        <v>364.48694999999998</v>
      </c>
      <c r="J935" s="384">
        <f t="shared" si="130"/>
        <v>1822.4347499999999</v>
      </c>
    </row>
    <row r="936" spans="1:10" s="276" customFormat="1">
      <c r="A936" s="263"/>
      <c r="B936" s="381" t="s">
        <v>1898</v>
      </c>
      <c r="C936" s="382" t="s">
        <v>729</v>
      </c>
      <c r="D936" s="383" t="str">
        <f>COMPOSIÇÕES!B95</f>
        <v>FDE - 07/2023</v>
      </c>
      <c r="E936" s="344" t="s">
        <v>730</v>
      </c>
      <c r="F936" s="382" t="s">
        <v>412</v>
      </c>
      <c r="G936" s="316">
        <v>1</v>
      </c>
      <c r="H936" s="530">
        <f>VLOOKUP(C936,COMPOSIÇÕES!A:J,6,FALSE)</f>
        <v>50.77</v>
      </c>
      <c r="I936" s="287">
        <f>COMPOSIÇÕES!$J$95</f>
        <v>60.670150000000007</v>
      </c>
      <c r="J936" s="384">
        <f t="shared" si="130"/>
        <v>60.670150000000007</v>
      </c>
    </row>
    <row r="937" spans="1:10" s="276" customFormat="1" ht="28.8">
      <c r="A937" s="263"/>
      <c r="B937" s="381" t="s">
        <v>1899</v>
      </c>
      <c r="C937" s="382">
        <v>91927</v>
      </c>
      <c r="D937" s="383" t="str">
        <f>COMPOSIÇÕES!B97</f>
        <v>SINAPI SP - 08/2023</v>
      </c>
      <c r="E937" s="344" t="s">
        <v>770</v>
      </c>
      <c r="F937" s="382" t="s">
        <v>412</v>
      </c>
      <c r="G937" s="316">
        <v>825</v>
      </c>
      <c r="H937" s="530">
        <f>VLOOKUP(C937,COMPOSIÇÕES!A:J,6,FALSE)</f>
        <v>4.8</v>
      </c>
      <c r="I937" s="287">
        <f>COMPOSIÇÕES!$J$96</f>
        <v>5.7359999999999998</v>
      </c>
      <c r="J937" s="384">
        <f t="shared" si="130"/>
        <v>4732.2</v>
      </c>
    </row>
    <row r="938" spans="1:10" s="276" customFormat="1" ht="28.8">
      <c r="A938" s="263"/>
      <c r="B938" s="381" t="s">
        <v>1900</v>
      </c>
      <c r="C938" s="382">
        <v>91927</v>
      </c>
      <c r="D938" s="383" t="str">
        <f t="shared" ref="D938:D940" si="131">$D$937</f>
        <v>SINAPI SP - 08/2023</v>
      </c>
      <c r="E938" s="344" t="s">
        <v>771</v>
      </c>
      <c r="F938" s="382" t="s">
        <v>412</v>
      </c>
      <c r="G938" s="316">
        <v>800</v>
      </c>
      <c r="H938" s="530">
        <f>VLOOKUP(C938,COMPOSIÇÕES!A:J,6,FALSE)</f>
        <v>4.8</v>
      </c>
      <c r="I938" s="287">
        <f>COMPOSIÇÕES!$J$96</f>
        <v>5.7359999999999998</v>
      </c>
      <c r="J938" s="384">
        <f t="shared" si="130"/>
        <v>4588.8</v>
      </c>
    </row>
    <row r="939" spans="1:10" s="276" customFormat="1" ht="28.8">
      <c r="A939" s="263"/>
      <c r="B939" s="381" t="s">
        <v>1901</v>
      </c>
      <c r="C939" s="382">
        <v>91927</v>
      </c>
      <c r="D939" s="383" t="str">
        <f t="shared" si="131"/>
        <v>SINAPI SP - 08/2023</v>
      </c>
      <c r="E939" s="344" t="s">
        <v>772</v>
      </c>
      <c r="F939" s="382" t="s">
        <v>412</v>
      </c>
      <c r="G939" s="316">
        <v>775</v>
      </c>
      <c r="H939" s="530">
        <f>VLOOKUP(C939,COMPOSIÇÕES!A:J,6,FALSE)</f>
        <v>4.8</v>
      </c>
      <c r="I939" s="287">
        <f>COMPOSIÇÕES!$J$96</f>
        <v>5.7359999999999998</v>
      </c>
      <c r="J939" s="384">
        <f t="shared" si="130"/>
        <v>4445.3999999999996</v>
      </c>
    </row>
    <row r="940" spans="1:10" s="276" customFormat="1" ht="28.8">
      <c r="A940" s="263"/>
      <c r="B940" s="381" t="s">
        <v>1902</v>
      </c>
      <c r="C940" s="382">
        <v>91927</v>
      </c>
      <c r="D940" s="383" t="str">
        <f t="shared" si="131"/>
        <v>SINAPI SP - 08/2023</v>
      </c>
      <c r="E940" s="344" t="s">
        <v>773</v>
      </c>
      <c r="F940" s="382" t="s">
        <v>412</v>
      </c>
      <c r="G940" s="316">
        <v>500</v>
      </c>
      <c r="H940" s="530">
        <f>VLOOKUP(C940,COMPOSIÇÕES!A:J,6,FALSE)</f>
        <v>4.8</v>
      </c>
      <c r="I940" s="287">
        <f>COMPOSIÇÕES!$J$96</f>
        <v>5.7359999999999998</v>
      </c>
      <c r="J940" s="384">
        <f t="shared" si="130"/>
        <v>2868</v>
      </c>
    </row>
    <row r="941" spans="1:10" s="276" customFormat="1" ht="28.8">
      <c r="A941" s="263"/>
      <c r="B941" s="381" t="s">
        <v>1903</v>
      </c>
      <c r="C941" s="382">
        <v>92992</v>
      </c>
      <c r="D941" s="383" t="str">
        <f>COMPOSIÇÕES!B100</f>
        <v>SINAPI SP - 08/2023</v>
      </c>
      <c r="E941" s="344" t="s">
        <v>782</v>
      </c>
      <c r="F941" s="382" t="s">
        <v>412</v>
      </c>
      <c r="G941" s="316">
        <v>20</v>
      </c>
      <c r="H941" s="530">
        <f>VLOOKUP(C941,COMPOSIÇÕES!A:J,6,FALSE)</f>
        <v>81.510000000000005</v>
      </c>
      <c r="I941" s="287">
        <f>COMPOSIÇÕES!$J$100</f>
        <v>97.404450000000011</v>
      </c>
      <c r="J941" s="384">
        <f t="shared" si="130"/>
        <v>1948.0890000000002</v>
      </c>
    </row>
    <row r="942" spans="1:10" s="276" customFormat="1" ht="28.8">
      <c r="A942" s="263"/>
      <c r="B942" s="381" t="s">
        <v>1904</v>
      </c>
      <c r="C942" s="382">
        <v>92996</v>
      </c>
      <c r="D942" s="383" t="str">
        <f t="shared" ref="D942:D945" si="132">$D$941</f>
        <v>SINAPI SP - 08/2023</v>
      </c>
      <c r="E942" s="344" t="s">
        <v>859</v>
      </c>
      <c r="F942" s="382" t="s">
        <v>412</v>
      </c>
      <c r="G942" s="316">
        <v>20</v>
      </c>
      <c r="H942" s="530">
        <f>VLOOKUP(C942,COMPOSIÇÕES!A:J,6,FALSE)</f>
        <v>127.4</v>
      </c>
      <c r="I942" s="287">
        <f>COMPOSIÇÕES!$J$216</f>
        <v>152.24299999999999</v>
      </c>
      <c r="J942" s="384">
        <f t="shared" si="130"/>
        <v>3044.8599999999997</v>
      </c>
    </row>
    <row r="943" spans="1:10" s="276" customFormat="1" ht="28.8">
      <c r="A943" s="263"/>
      <c r="B943" s="381" t="s">
        <v>1905</v>
      </c>
      <c r="C943" s="382">
        <v>92996</v>
      </c>
      <c r="D943" s="383" t="str">
        <f t="shared" si="132"/>
        <v>SINAPI SP - 08/2023</v>
      </c>
      <c r="E943" s="344" t="s">
        <v>861</v>
      </c>
      <c r="F943" s="382" t="s">
        <v>412</v>
      </c>
      <c r="G943" s="316">
        <v>20</v>
      </c>
      <c r="H943" s="530">
        <f>VLOOKUP(C943,COMPOSIÇÕES!A:J,6,FALSE)</f>
        <v>127.4</v>
      </c>
      <c r="I943" s="287">
        <f>COMPOSIÇÕES!$J$216</f>
        <v>152.24299999999999</v>
      </c>
      <c r="J943" s="384">
        <f t="shared" si="130"/>
        <v>3044.8599999999997</v>
      </c>
    </row>
    <row r="944" spans="1:10" s="276" customFormat="1" ht="28.8">
      <c r="A944" s="263"/>
      <c r="B944" s="381" t="s">
        <v>1906</v>
      </c>
      <c r="C944" s="382">
        <v>92996</v>
      </c>
      <c r="D944" s="383" t="str">
        <f t="shared" si="132"/>
        <v>SINAPI SP - 08/2023</v>
      </c>
      <c r="E944" s="344" t="s">
        <v>862</v>
      </c>
      <c r="F944" s="382" t="s">
        <v>412</v>
      </c>
      <c r="G944" s="316">
        <v>20</v>
      </c>
      <c r="H944" s="530">
        <f>VLOOKUP(C944,COMPOSIÇÕES!A:J,6,FALSE)</f>
        <v>127.4</v>
      </c>
      <c r="I944" s="287">
        <f>COMPOSIÇÕES!$J$216</f>
        <v>152.24299999999999</v>
      </c>
      <c r="J944" s="384">
        <f t="shared" si="130"/>
        <v>3044.8599999999997</v>
      </c>
    </row>
    <row r="945" spans="1:10" s="276" customFormat="1" ht="28.8">
      <c r="A945" s="263"/>
      <c r="B945" s="381" t="s">
        <v>1907</v>
      </c>
      <c r="C945" s="382">
        <v>92996</v>
      </c>
      <c r="D945" s="383" t="str">
        <f t="shared" si="132"/>
        <v>SINAPI SP - 08/2023</v>
      </c>
      <c r="E945" s="344" t="s">
        <v>863</v>
      </c>
      <c r="F945" s="382" t="s">
        <v>412</v>
      </c>
      <c r="G945" s="316">
        <v>20</v>
      </c>
      <c r="H945" s="530">
        <f>VLOOKUP(C945,COMPOSIÇÕES!A:J,6,FALSE)</f>
        <v>127.4</v>
      </c>
      <c r="I945" s="287">
        <f>COMPOSIÇÕES!$J$216</f>
        <v>152.24299999999999</v>
      </c>
      <c r="J945" s="384">
        <f t="shared" si="130"/>
        <v>3044.8599999999997</v>
      </c>
    </row>
    <row r="946" spans="1:10" s="276" customFormat="1">
      <c r="A946" s="263"/>
      <c r="B946" s="381" t="s">
        <v>1908</v>
      </c>
      <c r="C946" s="382" t="s">
        <v>711</v>
      </c>
      <c r="D946" s="383" t="str">
        <f>COMPOSIÇÕES!B144</f>
        <v>FDE - 07/2023</v>
      </c>
      <c r="E946" s="344" t="s">
        <v>871</v>
      </c>
      <c r="F946" s="382" t="s">
        <v>431</v>
      </c>
      <c r="G946" s="316">
        <v>12</v>
      </c>
      <c r="H946" s="530">
        <f>COMPOSIÇÕES!F144</f>
        <v>28.62</v>
      </c>
      <c r="I946" s="287">
        <f>COMPOSIÇÕES!$J$144</f>
        <v>34.200900000000004</v>
      </c>
      <c r="J946" s="384">
        <f t="shared" si="130"/>
        <v>410.41080000000005</v>
      </c>
    </row>
    <row r="947" spans="1:10" s="276" customFormat="1">
      <c r="A947" s="263"/>
      <c r="B947" s="381" t="s">
        <v>1909</v>
      </c>
      <c r="C947" s="382" t="s">
        <v>711</v>
      </c>
      <c r="D947" s="383" t="str">
        <f>COMPOSIÇÕES!B105</f>
        <v>FDE - 07/2023</v>
      </c>
      <c r="E947" s="344" t="s">
        <v>733</v>
      </c>
      <c r="F947" s="382" t="s">
        <v>431</v>
      </c>
      <c r="G947" s="316">
        <v>4</v>
      </c>
      <c r="H947" s="530">
        <f>COMPOSIÇÕES!F105</f>
        <v>43.51</v>
      </c>
      <c r="I947" s="287">
        <f>COMPOSIÇÕES!$J$105</f>
        <v>51.994450000000001</v>
      </c>
      <c r="J947" s="384">
        <f t="shared" si="130"/>
        <v>207.9778</v>
      </c>
    </row>
    <row r="948" spans="1:10" s="276" customFormat="1" ht="28.8">
      <c r="A948" s="263"/>
      <c r="B948" s="381" t="s">
        <v>1910</v>
      </c>
      <c r="C948" s="382" t="s">
        <v>711</v>
      </c>
      <c r="D948" s="383" t="str">
        <f>COMPOSIÇÕES!B218</f>
        <v>FDE - 07/2023</v>
      </c>
      <c r="E948" s="483" t="s">
        <v>1886</v>
      </c>
      <c r="F948" s="382" t="s">
        <v>431</v>
      </c>
      <c r="G948" s="316">
        <v>12</v>
      </c>
      <c r="H948" s="530">
        <f>COMPOSIÇÕES!F218</f>
        <v>48.69</v>
      </c>
      <c r="I948" s="287">
        <f>COMPOSIÇÕES!$J$218</f>
        <v>58.184550000000002</v>
      </c>
      <c r="J948" s="384">
        <f t="shared" si="130"/>
        <v>698.21460000000002</v>
      </c>
    </row>
    <row r="949" spans="1:10" s="263" customFormat="1" ht="72">
      <c r="B949" s="381" t="s">
        <v>1911</v>
      </c>
      <c r="C949" s="275" t="s">
        <v>711</v>
      </c>
      <c r="D949" s="277" t="str">
        <f>COMPOSIÇÕES!B269</f>
        <v>CDHU - BOLETIM 191 + FDE - 07/2023 + SINAPI SP - 08/2023</v>
      </c>
      <c r="E949" s="278" t="s">
        <v>1018</v>
      </c>
      <c r="F949" s="275" t="s">
        <v>530</v>
      </c>
      <c r="G949" s="313">
        <v>1</v>
      </c>
      <c r="H949" s="301">
        <f>SUM(COMPOSIÇÕES!G270:G276)</f>
        <v>14131.243449372385</v>
      </c>
      <c r="I949" s="286">
        <f>COMPOSIÇÕES!$J$269</f>
        <v>16886.835921999998</v>
      </c>
      <c r="J949" s="295">
        <f t="shared" si="130"/>
        <v>16886.835921999998</v>
      </c>
    </row>
    <row r="950" spans="1:10" s="263" customFormat="1">
      <c r="B950" s="579" t="s">
        <v>1916</v>
      </c>
      <c r="C950" s="580"/>
      <c r="D950" s="580"/>
      <c r="E950" s="580"/>
      <c r="F950" s="580"/>
      <c r="G950" s="580"/>
      <c r="H950" s="580"/>
      <c r="I950" s="581"/>
      <c r="J950" s="296">
        <f>SUM(J927:J949)</f>
        <v>82748.705768910571</v>
      </c>
    </row>
    <row r="951" spans="1:10" s="263" customFormat="1">
      <c r="B951" s="237" t="s">
        <v>1912</v>
      </c>
      <c r="C951" s="238"/>
      <c r="D951" s="533"/>
      <c r="E951" s="239" t="s">
        <v>650</v>
      </c>
      <c r="F951" s="238"/>
      <c r="G951" s="312"/>
      <c r="H951" s="300"/>
      <c r="I951" s="285"/>
      <c r="J951" s="294"/>
    </row>
    <row r="952" spans="1:10" s="276" customFormat="1">
      <c r="A952" s="263"/>
      <c r="B952" s="381" t="s">
        <v>1913</v>
      </c>
      <c r="C952" s="382" t="s">
        <v>708</v>
      </c>
      <c r="D952" s="383" t="str">
        <f>COMPOSIÇÕES!B115</f>
        <v>FDE - 07/2023</v>
      </c>
      <c r="E952" s="344" t="s">
        <v>651</v>
      </c>
      <c r="F952" s="382" t="s">
        <v>541</v>
      </c>
      <c r="G952" s="316">
        <v>100</v>
      </c>
      <c r="H952" s="290">
        <f>COMPOSIÇÕES!$G$116</f>
        <v>5.116260162601626</v>
      </c>
      <c r="I952" s="287">
        <f>COMPOSIÇÕES!$J$115</f>
        <v>6.1139308943089432</v>
      </c>
      <c r="J952" s="384">
        <f>G952*I952</f>
        <v>611.39308943089429</v>
      </c>
    </row>
    <row r="953" spans="1:10" s="263" customFormat="1">
      <c r="B953" s="579" t="s">
        <v>1917</v>
      </c>
      <c r="C953" s="580"/>
      <c r="D953" s="580"/>
      <c r="E953" s="580"/>
      <c r="F953" s="580"/>
      <c r="G953" s="580"/>
      <c r="H953" s="580"/>
      <c r="I953" s="581"/>
      <c r="J953" s="296">
        <f>J952</f>
        <v>611.39308943089429</v>
      </c>
    </row>
    <row r="954" spans="1:10" s="263" customFormat="1" ht="25.5" customHeight="1" thickBot="1">
      <c r="B954" s="564" t="s">
        <v>661</v>
      </c>
      <c r="C954" s="565"/>
      <c r="D954" s="565"/>
      <c r="E954" s="565"/>
      <c r="F954" s="565"/>
      <c r="G954" s="565"/>
      <c r="H954" s="565"/>
      <c r="I954" s="566"/>
      <c r="J954" s="297">
        <f>J904+J925+J950+J953</f>
        <v>222727.28206986401</v>
      </c>
    </row>
    <row r="955" spans="1:10" s="263" customFormat="1">
      <c r="B955" s="264" t="s">
        <v>1918</v>
      </c>
      <c r="C955" s="265"/>
      <c r="D955" s="534"/>
      <c r="E955" s="266" t="s">
        <v>508</v>
      </c>
      <c r="F955" s="265"/>
      <c r="G955" s="310"/>
      <c r="H955" s="298"/>
      <c r="I955" s="283"/>
      <c r="J955" s="292"/>
    </row>
    <row r="956" spans="1:10" s="263" customFormat="1" ht="6" customHeight="1">
      <c r="B956" s="234"/>
      <c r="C956" s="235"/>
      <c r="D956" s="532"/>
      <c r="E956" s="236"/>
      <c r="F956" s="235"/>
      <c r="G956" s="311"/>
      <c r="H956" s="299"/>
      <c r="I956" s="284"/>
      <c r="J956" s="293"/>
    </row>
    <row r="957" spans="1:10" s="263" customFormat="1">
      <c r="B957" s="237" t="s">
        <v>1919</v>
      </c>
      <c r="C957" s="238"/>
      <c r="D957" s="533"/>
      <c r="E957" s="239" t="s">
        <v>483</v>
      </c>
      <c r="F957" s="238"/>
      <c r="G957" s="312"/>
      <c r="H957" s="300"/>
      <c r="I957" s="285"/>
      <c r="J957" s="294"/>
    </row>
    <row r="958" spans="1:10" s="150" customFormat="1">
      <c r="B958" s="381" t="s">
        <v>1920</v>
      </c>
      <c r="C958" s="382" t="str">
        <f t="shared" ref="C958:G959" si="133">C902</f>
        <v>16.06.076</v>
      </c>
      <c r="D958" s="383" t="str">
        <f t="shared" si="133"/>
        <v>FDE - 07/2023</v>
      </c>
      <c r="E958" s="344" t="str">
        <f t="shared" si="133"/>
        <v>FORNECIMENTO E INSTALAÇAO DE PLACAS DE OBRA</v>
      </c>
      <c r="F958" s="382" t="str">
        <f t="shared" si="133"/>
        <v>M²</v>
      </c>
      <c r="G958" s="316">
        <f t="shared" si="133"/>
        <v>5</v>
      </c>
      <c r="H958" s="290">
        <f t="shared" ref="H958:I959" si="134">H902</f>
        <v>407.8057</v>
      </c>
      <c r="I958" s="287">
        <f t="shared" si="134"/>
        <v>487.3278115</v>
      </c>
      <c r="J958" s="384">
        <f>G958*I958</f>
        <v>2436.6390575</v>
      </c>
    </row>
    <row r="959" spans="1:10" s="150" customFormat="1" ht="28.8">
      <c r="B959" s="381" t="s">
        <v>1921</v>
      </c>
      <c r="C959" s="382">
        <f t="shared" si="133"/>
        <v>37524</v>
      </c>
      <c r="D959" s="383" t="str">
        <f t="shared" si="133"/>
        <v>SINAPI SP - 08/2023</v>
      </c>
      <c r="E959" s="344" t="str">
        <f t="shared" si="133"/>
        <v>TELA PLASTICA LARANJA, TIPO TAPUME PARA SINALIZACAO, MALHA RETANGULAR, ROLO 1.20 X 50 M (L X C)</v>
      </c>
      <c r="F959" s="382" t="str">
        <f t="shared" si="133"/>
        <v>M²</v>
      </c>
      <c r="G959" s="316">
        <f t="shared" si="133"/>
        <v>40</v>
      </c>
      <c r="H959" s="290">
        <f t="shared" si="134"/>
        <v>2</v>
      </c>
      <c r="I959" s="287">
        <f t="shared" si="134"/>
        <v>2.39</v>
      </c>
      <c r="J959" s="384">
        <f>G959*I959</f>
        <v>95.600000000000009</v>
      </c>
    </row>
    <row r="960" spans="1:10" s="263" customFormat="1">
      <c r="B960" s="579" t="s">
        <v>1922</v>
      </c>
      <c r="C960" s="580"/>
      <c r="D960" s="580"/>
      <c r="E960" s="580"/>
      <c r="F960" s="580"/>
      <c r="G960" s="580"/>
      <c r="H960" s="580"/>
      <c r="I960" s="581"/>
      <c r="J960" s="296">
        <f>SUM(J958:J959)</f>
        <v>2532.2390574999999</v>
      </c>
    </row>
    <row r="961" spans="1:10" s="263" customFormat="1">
      <c r="B961" s="237" t="s">
        <v>1923</v>
      </c>
      <c r="C961" s="238"/>
      <c r="D961" s="533"/>
      <c r="E961" s="239" t="s">
        <v>525</v>
      </c>
      <c r="F961" s="238"/>
      <c r="G961" s="312"/>
      <c r="H961" s="300"/>
      <c r="I961" s="285"/>
      <c r="J961" s="294"/>
    </row>
    <row r="962" spans="1:10" s="276" customFormat="1" ht="28.8">
      <c r="B962" s="381" t="s">
        <v>1924</v>
      </c>
      <c r="C962" s="382" t="s">
        <v>711</v>
      </c>
      <c r="D962" s="383" t="str">
        <f>COMPOSIÇÕES!B10</f>
        <v>SINAPI SP - 08/2023</v>
      </c>
      <c r="E962" s="487" t="s">
        <v>2404</v>
      </c>
      <c r="F962" s="382" t="s">
        <v>431</v>
      </c>
      <c r="G962" s="315">
        <v>39</v>
      </c>
      <c r="H962" s="290">
        <f>SUM(COMPOSIÇÕES!G11:G13)</f>
        <v>328.17395199999999</v>
      </c>
      <c r="I962" s="287">
        <f>COMPOSIÇÕES!J10</f>
        <v>392.16787263999993</v>
      </c>
      <c r="J962" s="384">
        <f t="shared" ref="J962:J975" si="135">G962*I962</f>
        <v>15294.547032959998</v>
      </c>
    </row>
    <row r="963" spans="1:10" s="150" customFormat="1" ht="86.4">
      <c r="B963" s="381" t="s">
        <v>1925</v>
      </c>
      <c r="C963" s="382" t="s">
        <v>711</v>
      </c>
      <c r="D963" s="383" t="str">
        <f>COMPOSIÇÕES!B14</f>
        <v>SINAPI SP - 08/2023</v>
      </c>
      <c r="E963" s="344" t="s">
        <v>754</v>
      </c>
      <c r="F963" s="382" t="s">
        <v>412</v>
      </c>
      <c r="G963" s="317">
        <v>18</v>
      </c>
      <c r="H963" s="290">
        <f>SUM(COMPOSIÇÕES!G15:G18)</f>
        <v>37.264400000000002</v>
      </c>
      <c r="I963" s="287">
        <f>COMPOSIÇÕES!J14</f>
        <v>44.530958000000005</v>
      </c>
      <c r="J963" s="384">
        <f t="shared" si="135"/>
        <v>801.55724400000008</v>
      </c>
    </row>
    <row r="964" spans="1:10" s="150" customFormat="1" ht="86.4">
      <c r="B964" s="381" t="s">
        <v>1926</v>
      </c>
      <c r="C964" s="382" t="s">
        <v>711</v>
      </c>
      <c r="D964" s="383" t="str">
        <f>COMPOSIÇÕES!B19</f>
        <v>SINAPI SP - 08/2023</v>
      </c>
      <c r="E964" s="344" t="s">
        <v>755</v>
      </c>
      <c r="F964" s="382" t="s">
        <v>412</v>
      </c>
      <c r="G964" s="317">
        <v>18</v>
      </c>
      <c r="H964" s="290">
        <f>SUM(COMPOSIÇÕES!G20:G23)</f>
        <v>69.234999999999985</v>
      </c>
      <c r="I964" s="287">
        <f>COMPOSIÇÕES!$J$19</f>
        <v>82.735824999999991</v>
      </c>
      <c r="J964" s="384">
        <f t="shared" si="135"/>
        <v>1489.2448499999998</v>
      </c>
    </row>
    <row r="965" spans="1:10" s="150" customFormat="1" ht="86.4">
      <c r="B965" s="381" t="s">
        <v>1927</v>
      </c>
      <c r="C965" s="382" t="s">
        <v>711</v>
      </c>
      <c r="D965" s="383" t="str">
        <f>COMPOSIÇÕES!B24</f>
        <v>SINAPI SP - 08/2023</v>
      </c>
      <c r="E965" s="344" t="s">
        <v>747</v>
      </c>
      <c r="F965" s="382" t="s">
        <v>412</v>
      </c>
      <c r="G965" s="317">
        <v>60</v>
      </c>
      <c r="H965" s="290">
        <f>SUM(COMPOSIÇÕES!G25:G28)</f>
        <v>53.322000000000003</v>
      </c>
      <c r="I965" s="287">
        <f>COMPOSIÇÕES!$J$24</f>
        <v>63.719789999999996</v>
      </c>
      <c r="J965" s="384">
        <f t="shared" si="135"/>
        <v>3823.1873999999998</v>
      </c>
    </row>
    <row r="966" spans="1:10" s="393" customFormat="1" ht="86.4">
      <c r="A966" s="150"/>
      <c r="B966" s="381" t="s">
        <v>1928</v>
      </c>
      <c r="C966" s="394" t="s">
        <v>711</v>
      </c>
      <c r="D966" s="389" t="str">
        <f>COMPOSIÇÕES!B29</f>
        <v xml:space="preserve">SINAPI SP - 08/2023 </v>
      </c>
      <c r="E966" s="395" t="s">
        <v>748</v>
      </c>
      <c r="F966" s="394" t="s">
        <v>412</v>
      </c>
      <c r="G966" s="315">
        <v>60</v>
      </c>
      <c r="H966" s="392">
        <f>SUM(COMPOSIÇÕES!G30:G33)</f>
        <v>85.438000000000002</v>
      </c>
      <c r="I966" s="396">
        <f>COMPOSIÇÕES!$J$29</f>
        <v>102.09840999999999</v>
      </c>
      <c r="J966" s="397">
        <f t="shared" si="135"/>
        <v>6125.9045999999989</v>
      </c>
    </row>
    <row r="967" spans="1:10" s="393" customFormat="1" ht="28.8">
      <c r="A967" s="150"/>
      <c r="B967" s="381" t="s">
        <v>1929</v>
      </c>
      <c r="C967" s="394" t="str">
        <f t="shared" ref="C967:I967" si="136">C911</f>
        <v>22.02.030</v>
      </c>
      <c r="D967" s="389" t="str">
        <f t="shared" si="136"/>
        <v>CDHU - BOLETIM 191</v>
      </c>
      <c r="E967" s="395" t="str">
        <f t="shared" si="136"/>
        <v>Forro em painéis de gesso acartonado, espessura de 12,5mm, fixo</v>
      </c>
      <c r="F967" s="394" t="str">
        <f t="shared" si="136"/>
        <v>M²</v>
      </c>
      <c r="G967" s="315">
        <f>6*0.55*2*22</f>
        <v>145.20000000000002</v>
      </c>
      <c r="H967" s="392">
        <f t="shared" si="136"/>
        <v>99.47</v>
      </c>
      <c r="I967" s="396">
        <f t="shared" si="136"/>
        <v>118.86664999999999</v>
      </c>
      <c r="J967" s="397">
        <f t="shared" si="135"/>
        <v>17259.437580000002</v>
      </c>
    </row>
    <row r="968" spans="1:10" s="150" customFormat="1" ht="57.6">
      <c r="B968" s="381" t="s">
        <v>1930</v>
      </c>
      <c r="C968" s="382" t="s">
        <v>711</v>
      </c>
      <c r="D968" s="383" t="str">
        <f>COMPOSIÇÕES!B36</f>
        <v xml:space="preserve">SINAPI SP - 08/2023 </v>
      </c>
      <c r="E968" s="398" t="s">
        <v>756</v>
      </c>
      <c r="F968" s="382" t="s">
        <v>413</v>
      </c>
      <c r="G968" s="315">
        <v>628</v>
      </c>
      <c r="H968" s="287">
        <f>SUM(COMPOSIÇÕES!$G$37:$G$38)</f>
        <v>75</v>
      </c>
      <c r="I968" s="287">
        <f>COMPOSIÇÕES!$J$36</f>
        <v>101.5033</v>
      </c>
      <c r="J968" s="384">
        <f t="shared" si="135"/>
        <v>63744.072399999997</v>
      </c>
    </row>
    <row r="969" spans="1:10" s="335" customFormat="1" ht="28.8">
      <c r="A969" s="150"/>
      <c r="B969" s="381" t="s">
        <v>1931</v>
      </c>
      <c r="C969" s="383" t="str">
        <f>COMPOSIÇÕES!A44</f>
        <v>61.10.565</v>
      </c>
      <c r="D969" s="383" t="str">
        <f>COMPOSIÇÕES!B44</f>
        <v>CDHU - BOLETIM 191</v>
      </c>
      <c r="E969" s="388" t="s">
        <v>1042</v>
      </c>
      <c r="F969" s="382" t="s">
        <v>431</v>
      </c>
      <c r="G969" s="315">
        <v>16</v>
      </c>
      <c r="H969" s="287">
        <f>COMPOSIÇÕES!G45</f>
        <v>248.91654375000002</v>
      </c>
      <c r="I969" s="287">
        <f>COMPOSIÇÕES!$J$44</f>
        <v>297.45526978125002</v>
      </c>
      <c r="J969" s="384">
        <f t="shared" si="135"/>
        <v>4759.2843165000004</v>
      </c>
    </row>
    <row r="970" spans="1:10" s="335" customFormat="1" ht="28.8">
      <c r="A970" s="150"/>
      <c r="B970" s="381" t="s">
        <v>1932</v>
      </c>
      <c r="C970" s="383" t="str">
        <f>COMPOSIÇÕES!A46</f>
        <v>61.10.564</v>
      </c>
      <c r="D970" s="383" t="str">
        <f>COMPOSIÇÕES!B46</f>
        <v>CDHU - BOLETIM 191</v>
      </c>
      <c r="E970" s="388" t="s">
        <v>1043</v>
      </c>
      <c r="F970" s="382" t="s">
        <v>431</v>
      </c>
      <c r="G970" s="315">
        <v>5</v>
      </c>
      <c r="H970" s="287">
        <f>COMPOSIÇÕES!G47</f>
        <v>49.947131250000005</v>
      </c>
      <c r="I970" s="287">
        <f>COMPOSIÇÕES!$J$46</f>
        <v>59.68682184375001</v>
      </c>
      <c r="J970" s="384">
        <f t="shared" si="135"/>
        <v>298.43410921875005</v>
      </c>
    </row>
    <row r="971" spans="1:10" s="335" customFormat="1" ht="28.8">
      <c r="A971" s="150"/>
      <c r="B971" s="381" t="s">
        <v>1933</v>
      </c>
      <c r="C971" s="383" t="str">
        <f>COMPOSIÇÕES!A48</f>
        <v>61.10.564</v>
      </c>
      <c r="D971" s="383" t="str">
        <f>COMPOSIÇÕES!B48</f>
        <v>CDHU - BOLETIM 191</v>
      </c>
      <c r="E971" s="388" t="s">
        <v>1044</v>
      </c>
      <c r="F971" s="382" t="s">
        <v>431</v>
      </c>
      <c r="G971" s="315">
        <v>1</v>
      </c>
      <c r="H971" s="287">
        <f>COMPOSIÇÕES!G49</f>
        <v>82.875240000000005</v>
      </c>
      <c r="I971" s="287">
        <f>COMPOSIÇÕES!$J$48</f>
        <v>99.035911800000008</v>
      </c>
      <c r="J971" s="384">
        <f t="shared" si="135"/>
        <v>99.035911800000008</v>
      </c>
    </row>
    <row r="972" spans="1:10" s="150" customFormat="1" ht="28.8">
      <c r="B972" s="381" t="s">
        <v>1934</v>
      </c>
      <c r="C972" s="383" t="str">
        <f>COMPOSIÇÕES!A122</f>
        <v>61.10.581</v>
      </c>
      <c r="D972" s="383" t="str">
        <f>COMPOSIÇÕES!B122</f>
        <v>CDHU - BOLETIM 191</v>
      </c>
      <c r="E972" s="388" t="s">
        <v>809</v>
      </c>
      <c r="F972" s="382" t="s">
        <v>431</v>
      </c>
      <c r="G972" s="317">
        <v>1</v>
      </c>
      <c r="H972" s="287">
        <f>COMPOSIÇÕES!G123</f>
        <v>33.890000000000008</v>
      </c>
      <c r="I972" s="287">
        <f>COMPOSIÇÕES!$J$122</f>
        <v>40.498550000000009</v>
      </c>
      <c r="J972" s="384">
        <f t="shared" si="135"/>
        <v>40.498550000000009</v>
      </c>
    </row>
    <row r="973" spans="1:10" s="150" customFormat="1" ht="28.8">
      <c r="B973" s="381" t="s">
        <v>1935</v>
      </c>
      <c r="C973" s="383" t="str">
        <f>COMPOSIÇÕES!A124</f>
        <v>61.10.581</v>
      </c>
      <c r="D973" s="383" t="str">
        <f>COMPOSIÇÕES!B124</f>
        <v>CDHU - BOLETIM 191</v>
      </c>
      <c r="E973" s="388" t="s">
        <v>1119</v>
      </c>
      <c r="F973" s="382" t="s">
        <v>431</v>
      </c>
      <c r="G973" s="317">
        <v>16</v>
      </c>
      <c r="H973" s="287">
        <f>COMPOSIÇÕES!G125</f>
        <v>203.34</v>
      </c>
      <c r="I973" s="287">
        <f>COMPOSIÇÕES!$J$124</f>
        <v>242.9913</v>
      </c>
      <c r="J973" s="384">
        <f t="shared" si="135"/>
        <v>3887.8607999999999</v>
      </c>
    </row>
    <row r="974" spans="1:10" s="150" customFormat="1" ht="28.8">
      <c r="B974" s="381" t="s">
        <v>1936</v>
      </c>
      <c r="C974" s="383" t="str">
        <f>COMPOSIÇÕES!A56</f>
        <v>61.10.581</v>
      </c>
      <c r="D974" s="383" t="str">
        <f>COMPOSIÇÕES!B56</f>
        <v>CDHU - BOLETIM 191</v>
      </c>
      <c r="E974" s="388" t="s">
        <v>1117</v>
      </c>
      <c r="F974" s="382" t="s">
        <v>431</v>
      </c>
      <c r="G974" s="315">
        <v>5</v>
      </c>
      <c r="H974" s="287">
        <f>COMPOSIÇÕES!G57</f>
        <v>16.945000000000004</v>
      </c>
      <c r="I974" s="287">
        <f>COMPOSIÇÕES!$J$56</f>
        <v>20.249275000000004</v>
      </c>
      <c r="J974" s="384">
        <f t="shared" si="135"/>
        <v>101.24637500000003</v>
      </c>
    </row>
    <row r="975" spans="1:10" s="150" customFormat="1" ht="28.8">
      <c r="B975" s="381" t="s">
        <v>1937</v>
      </c>
      <c r="C975" s="382" t="s">
        <v>711</v>
      </c>
      <c r="D975" s="383" t="str">
        <f>COMPOSIÇÕES!B58</f>
        <v xml:space="preserve">SINAPI SP - 08/2023 </v>
      </c>
      <c r="E975" s="388" t="s">
        <v>758</v>
      </c>
      <c r="F975" s="382" t="s">
        <v>412</v>
      </c>
      <c r="G975" s="315">
        <v>12</v>
      </c>
      <c r="H975" s="287">
        <f>SUM(COMPOSIÇÕES!G59:G61)</f>
        <v>31.499000000000002</v>
      </c>
      <c r="I975" s="287">
        <f>COMPOSIÇÕES!$J$58</f>
        <v>37.641304999999996</v>
      </c>
      <c r="J975" s="384">
        <f t="shared" si="135"/>
        <v>451.69565999999998</v>
      </c>
    </row>
    <row r="976" spans="1:10" s="150" customFormat="1" ht="28.8">
      <c r="B976" s="381" t="s">
        <v>1938</v>
      </c>
      <c r="C976" s="382" t="s">
        <v>711</v>
      </c>
      <c r="D976" s="383" t="str">
        <f>COMPOSIÇÕES!B64</f>
        <v>SINAPI SP - 08/2023</v>
      </c>
      <c r="E976" s="388" t="s">
        <v>697</v>
      </c>
      <c r="F976" s="382" t="s">
        <v>431</v>
      </c>
      <c r="G976" s="315">
        <v>39</v>
      </c>
      <c r="H976" s="287">
        <f>SUM(COMPOSIÇÕES!$G$65:$G$67)</f>
        <v>92.32</v>
      </c>
      <c r="I976" s="287">
        <f>COMPOSIÇÕES!$J$64</f>
        <v>110.32240000000002</v>
      </c>
      <c r="J976" s="384">
        <f>I976*G976</f>
        <v>4302.5736000000006</v>
      </c>
    </row>
    <row r="977" spans="1:10" s="150" customFormat="1" ht="28.8">
      <c r="B977" s="381" t="s">
        <v>1939</v>
      </c>
      <c r="C977" s="382" t="s">
        <v>711</v>
      </c>
      <c r="D977" s="383" t="str">
        <f>COMPOSIÇÕES!B68</f>
        <v xml:space="preserve">SINAPI SP - 08/2023 </v>
      </c>
      <c r="E977" s="388" t="s">
        <v>762</v>
      </c>
      <c r="F977" s="382" t="s">
        <v>415</v>
      </c>
      <c r="G977" s="315">
        <v>8</v>
      </c>
      <c r="H977" s="287">
        <f>SUM(COMPOSIÇÕES!$G$69:$G$70)</f>
        <v>58.91</v>
      </c>
      <c r="I977" s="287">
        <f>COMPOSIÇÕES!$J$68</f>
        <v>70.397449999999992</v>
      </c>
      <c r="J977" s="384">
        <f>I977*G977</f>
        <v>563.17959999999994</v>
      </c>
    </row>
    <row r="978" spans="1:10" s="150" customFormat="1" ht="28.8">
      <c r="B978" s="381" t="s">
        <v>1940</v>
      </c>
      <c r="C978" s="399" t="s">
        <v>763</v>
      </c>
      <c r="D978" s="273" t="str">
        <f>COMPOSIÇÕES!B71</f>
        <v xml:space="preserve">SINAPI SP - 08/2023 </v>
      </c>
      <c r="E978" s="400" t="s">
        <v>761</v>
      </c>
      <c r="F978" s="273" t="s">
        <v>541</v>
      </c>
      <c r="G978" s="316">
        <v>2</v>
      </c>
      <c r="H978" s="287">
        <f>SUM(COMPOSIÇÕES!$G$72:$G$72)</f>
        <v>28.8</v>
      </c>
      <c r="I978" s="287">
        <f>COMPOSIÇÕES!$J$71</f>
        <v>34.416000000000004</v>
      </c>
      <c r="J978" s="384">
        <f>I978*G978</f>
        <v>68.832000000000008</v>
      </c>
    </row>
    <row r="979" spans="1:10" s="150" customFormat="1">
      <c r="A979" s="271"/>
      <c r="B979" s="381" t="s">
        <v>2418</v>
      </c>
      <c r="C979" s="399" t="s">
        <v>759</v>
      </c>
      <c r="D979" s="273" t="str">
        <f>COMPOSIÇÕES!B73</f>
        <v>FDE - 07/2023</v>
      </c>
      <c r="E979" s="400" t="s">
        <v>760</v>
      </c>
      <c r="F979" s="273" t="s">
        <v>701</v>
      </c>
      <c r="G979" s="316">
        <v>1</v>
      </c>
      <c r="H979" s="530">
        <f>VLOOKUP(C979,COMPOSIÇÕES!A:J,6,FALSE)</f>
        <v>38.485355648535567</v>
      </c>
      <c r="I979" s="287">
        <f>COMPOSIÇÕES!$J$73</f>
        <v>45.99</v>
      </c>
      <c r="J979" s="384">
        <f>I979*G979</f>
        <v>45.99</v>
      </c>
    </row>
    <row r="980" spans="1:10" s="150" customFormat="1">
      <c r="A980" s="271"/>
      <c r="B980" s="381" t="s">
        <v>2450</v>
      </c>
      <c r="C980" s="399" t="s">
        <v>764</v>
      </c>
      <c r="D980" s="273" t="str">
        <f>COMPOSIÇÕES!B74</f>
        <v>FDE - 07/2023</v>
      </c>
      <c r="E980" s="400" t="s">
        <v>765</v>
      </c>
      <c r="F980" s="273" t="s">
        <v>541</v>
      </c>
      <c r="G980" s="316">
        <v>3</v>
      </c>
      <c r="H980" s="530">
        <f>VLOOKUP(C980,COMPOSIÇÕES!A:J,6,FALSE)</f>
        <v>210.81171548117152</v>
      </c>
      <c r="I980" s="287">
        <f>COMPOSIÇÕES!$J$74</f>
        <v>251.91999999999996</v>
      </c>
      <c r="J980" s="384">
        <f>I980*G980</f>
        <v>755.75999999999988</v>
      </c>
    </row>
    <row r="981" spans="1:10" s="263" customFormat="1">
      <c r="B981" s="579" t="s">
        <v>1943</v>
      </c>
      <c r="C981" s="580"/>
      <c r="D981" s="580"/>
      <c r="E981" s="580"/>
      <c r="F981" s="580"/>
      <c r="G981" s="580"/>
      <c r="H981" s="580"/>
      <c r="I981" s="581"/>
      <c r="J981" s="296">
        <f>SUM(J962:J980)</f>
        <v>123912.34202947874</v>
      </c>
    </row>
    <row r="982" spans="1:10" s="263" customFormat="1">
      <c r="B982" s="237" t="s">
        <v>1941</v>
      </c>
      <c r="C982" s="238"/>
      <c r="D982" s="533"/>
      <c r="E982" s="239" t="s">
        <v>526</v>
      </c>
      <c r="F982" s="238"/>
      <c r="G982" s="312"/>
      <c r="H982" s="300"/>
      <c r="I982" s="285"/>
      <c r="J982" s="294"/>
    </row>
    <row r="983" spans="1:10" s="276" customFormat="1">
      <c r="A983" s="263"/>
      <c r="B983" s="381" t="s">
        <v>1942</v>
      </c>
      <c r="C983" s="382" t="s">
        <v>711</v>
      </c>
      <c r="D983" s="383" t="str">
        <f>COMPOSIÇÕES!B75</f>
        <v>FDE - 07/2023</v>
      </c>
      <c r="E983" s="344" t="s">
        <v>745</v>
      </c>
      <c r="F983" s="382" t="s">
        <v>431</v>
      </c>
      <c r="G983" s="316">
        <v>160</v>
      </c>
      <c r="H983" s="290">
        <f>SUM(COMPOSIÇÕES!G76:G78)</f>
        <v>34.013252032520327</v>
      </c>
      <c r="I983" s="287">
        <f>COMPOSIÇÕES!$J$75</f>
        <v>40.645836178861792</v>
      </c>
      <c r="J983" s="384">
        <f t="shared" ref="J983:J1018" si="137">G983*I983</f>
        <v>6503.333788617887</v>
      </c>
    </row>
    <row r="984" spans="1:10" s="276" customFormat="1" ht="28.8">
      <c r="A984" s="263"/>
      <c r="B984" s="381" t="s">
        <v>1945</v>
      </c>
      <c r="C984" s="382" t="s">
        <v>711</v>
      </c>
      <c r="D984" s="383" t="str">
        <f>COMPOSIÇÕES!B136</f>
        <v>FDE - 07/2023</v>
      </c>
      <c r="E984" s="344" t="s">
        <v>816</v>
      </c>
      <c r="F984" s="382" t="s">
        <v>431</v>
      </c>
      <c r="G984" s="316">
        <v>1</v>
      </c>
      <c r="H984" s="290">
        <f>COMPOSIÇÕES!G137+COMPOSIÇÕES!G138+COMPOSIÇÕES!G139</f>
        <v>28.625999999999998</v>
      </c>
      <c r="I984" s="287">
        <f>COMPOSIÇÕES!$J$136</f>
        <v>34.208069999999999</v>
      </c>
      <c r="J984" s="384">
        <f t="shared" si="137"/>
        <v>34.208069999999999</v>
      </c>
    </row>
    <row r="985" spans="1:10" s="276" customFormat="1" ht="43.2">
      <c r="A985" s="263"/>
      <c r="B985" s="381" t="s">
        <v>1946</v>
      </c>
      <c r="C985" s="382" t="s">
        <v>711</v>
      </c>
      <c r="D985" s="383" t="str">
        <f>COMPOSIÇÕES!B79</f>
        <v>FDE - 07/2023 + SINAPI SP - 08/2023</v>
      </c>
      <c r="E985" s="344" t="s">
        <v>742</v>
      </c>
      <c r="F985" s="382" t="s">
        <v>431</v>
      </c>
      <c r="G985" s="316">
        <v>11</v>
      </c>
      <c r="H985" s="290">
        <f>COMPOSIÇÕES!G80+COMPOSIÇÕES!G81+COMPOSIÇÕES!G82</f>
        <v>6.9960000000000004</v>
      </c>
      <c r="I985" s="287">
        <f>COMPOSIÇÕES!$J$79</f>
        <v>8.36022</v>
      </c>
      <c r="J985" s="384">
        <f t="shared" si="137"/>
        <v>91.962419999999995</v>
      </c>
    </row>
    <row r="986" spans="1:10" s="276" customFormat="1" ht="43.2">
      <c r="A986" s="263"/>
      <c r="B986" s="381" t="s">
        <v>1947</v>
      </c>
      <c r="C986" s="382" t="s">
        <v>711</v>
      </c>
      <c r="D986" s="383" t="str">
        <f>COMPOSIÇÕES!B128</f>
        <v>FDE - 07/2023 + SINAPI SP - 08/2023</v>
      </c>
      <c r="E986" s="344" t="s">
        <v>812</v>
      </c>
      <c r="F986" s="382" t="s">
        <v>431</v>
      </c>
      <c r="G986" s="316">
        <v>10</v>
      </c>
      <c r="H986" s="290">
        <f>SUM(COMPOSIÇÕES!G129:G131)</f>
        <v>23.056000000000001</v>
      </c>
      <c r="I986" s="287">
        <f>COMPOSIÇÕES!$J$128</f>
        <v>27.551920000000003</v>
      </c>
      <c r="J986" s="384">
        <f t="shared" si="137"/>
        <v>275.51920000000001</v>
      </c>
    </row>
    <row r="987" spans="1:10" s="276" customFormat="1">
      <c r="A987" s="263"/>
      <c r="B987" s="381" t="s">
        <v>1948</v>
      </c>
      <c r="C987" s="382" t="s">
        <v>739</v>
      </c>
      <c r="D987" s="383" t="str">
        <f>COMPOSIÇÕES!B83</f>
        <v>FDE - 07/2023</v>
      </c>
      <c r="E987" s="344" t="s">
        <v>766</v>
      </c>
      <c r="F987" s="382" t="s">
        <v>431</v>
      </c>
      <c r="G987" s="316">
        <v>15</v>
      </c>
      <c r="H987" s="530">
        <f>VLOOKUP(C987,COMPOSIÇÕES!A:J,6,FALSE)</f>
        <v>32.35146443514644</v>
      </c>
      <c r="I987" s="287">
        <f>COMPOSIÇÕES!$J$83</f>
        <v>38.659999999999997</v>
      </c>
      <c r="J987" s="384">
        <f t="shared" si="137"/>
        <v>579.9</v>
      </c>
    </row>
    <row r="988" spans="1:10" s="276" customFormat="1">
      <c r="A988" s="263"/>
      <c r="B988" s="381" t="s">
        <v>1949</v>
      </c>
      <c r="C988" s="382" t="s">
        <v>739</v>
      </c>
      <c r="D988" s="383" t="str">
        <f t="shared" ref="D988:D989" si="138">$D$987</f>
        <v>FDE - 07/2023</v>
      </c>
      <c r="E988" s="344" t="s">
        <v>767</v>
      </c>
      <c r="F988" s="382" t="s">
        <v>431</v>
      </c>
      <c r="G988" s="316">
        <v>60</v>
      </c>
      <c r="H988" s="530">
        <f>VLOOKUP(C988,COMPOSIÇÕES!A:J,6,FALSE)</f>
        <v>32.35146443514644</v>
      </c>
      <c r="I988" s="287">
        <f>COMPOSIÇÕES!$J$83</f>
        <v>38.659999999999997</v>
      </c>
      <c r="J988" s="384">
        <f t="shared" si="137"/>
        <v>2319.6</v>
      </c>
    </row>
    <row r="989" spans="1:10" s="276" customFormat="1">
      <c r="A989" s="263"/>
      <c r="B989" s="381" t="s">
        <v>1950</v>
      </c>
      <c r="C989" s="382" t="s">
        <v>739</v>
      </c>
      <c r="D989" s="383" t="str">
        <f t="shared" si="138"/>
        <v>FDE - 07/2023</v>
      </c>
      <c r="E989" s="344" t="s">
        <v>768</v>
      </c>
      <c r="F989" s="382" t="s">
        <v>431</v>
      </c>
      <c r="G989" s="316">
        <v>25</v>
      </c>
      <c r="H989" s="530">
        <f>VLOOKUP(C989,COMPOSIÇÕES!A:J,6,FALSE)</f>
        <v>32.35146443514644</v>
      </c>
      <c r="I989" s="287">
        <f>COMPOSIÇÕES!$J$83</f>
        <v>38.659999999999997</v>
      </c>
      <c r="J989" s="384">
        <f t="shared" si="137"/>
        <v>966.49999999999989</v>
      </c>
    </row>
    <row r="990" spans="1:10" s="276" customFormat="1">
      <c r="A990" s="263"/>
      <c r="B990" s="381" t="s">
        <v>1951</v>
      </c>
      <c r="C990" s="382" t="s">
        <v>738</v>
      </c>
      <c r="D990" s="383" t="str">
        <f>COMPOSIÇÕES!B84</f>
        <v>FDE - 07/2023</v>
      </c>
      <c r="E990" s="344" t="s">
        <v>769</v>
      </c>
      <c r="F990" s="382" t="s">
        <v>431</v>
      </c>
      <c r="G990" s="316">
        <v>5</v>
      </c>
      <c r="H990" s="530">
        <f>VLOOKUP(C990,COMPOSIÇÕES!A:J,6,FALSE)</f>
        <v>37.087866108786606</v>
      </c>
      <c r="I990" s="287">
        <f>COMPOSIÇÕES!$J$84</f>
        <v>44.319999999999993</v>
      </c>
      <c r="J990" s="384">
        <f t="shared" si="137"/>
        <v>221.59999999999997</v>
      </c>
    </row>
    <row r="991" spans="1:10" s="276" customFormat="1">
      <c r="A991" s="263"/>
      <c r="B991" s="381" t="s">
        <v>1952</v>
      </c>
      <c r="C991" s="382" t="s">
        <v>819</v>
      </c>
      <c r="D991" s="383" t="str">
        <f>COMPOSIÇÕES!B140</f>
        <v>FDE - 07/2023</v>
      </c>
      <c r="E991" s="344" t="s">
        <v>820</v>
      </c>
      <c r="F991" s="382" t="s">
        <v>431</v>
      </c>
      <c r="G991" s="316">
        <v>10</v>
      </c>
      <c r="H991" s="530">
        <f>COMPOSIÇÕES!F140</f>
        <v>68.63</v>
      </c>
      <c r="I991" s="287">
        <f>COMPOSIÇÕES!$J$140</f>
        <v>82.01285</v>
      </c>
      <c r="J991" s="384">
        <f t="shared" si="137"/>
        <v>820.12850000000003</v>
      </c>
    </row>
    <row r="992" spans="1:10" s="276" customFormat="1" ht="43.2">
      <c r="A992" s="263"/>
      <c r="B992" s="381" t="s">
        <v>1953</v>
      </c>
      <c r="C992" s="382" t="s">
        <v>711</v>
      </c>
      <c r="D992" s="383" t="str">
        <f>COMPOSIÇÕES!B85</f>
        <v>FDE - 07/2023 + SINAPI SP - 08/2023</v>
      </c>
      <c r="E992" s="344" t="s">
        <v>737</v>
      </c>
      <c r="F992" s="382" t="s">
        <v>431</v>
      </c>
      <c r="G992" s="316">
        <v>2</v>
      </c>
      <c r="H992" s="290">
        <f>SUM(COMPOSIÇÕES!G86:G88)</f>
        <v>187.64000000000001</v>
      </c>
      <c r="I992" s="287">
        <f>COMPOSIÇÕES!$J$85</f>
        <v>224.22980000000001</v>
      </c>
      <c r="J992" s="384">
        <f t="shared" si="137"/>
        <v>448.45960000000002</v>
      </c>
    </row>
    <row r="993" spans="1:10" s="276" customFormat="1">
      <c r="A993" s="263"/>
      <c r="B993" s="381" t="s">
        <v>1954</v>
      </c>
      <c r="C993" s="382" t="s">
        <v>735</v>
      </c>
      <c r="D993" s="383" t="str">
        <f>COMPOSIÇÕES!B89</f>
        <v>FDE - 07/2023</v>
      </c>
      <c r="E993" s="344" t="s">
        <v>736</v>
      </c>
      <c r="F993" s="382" t="s">
        <v>431</v>
      </c>
      <c r="G993" s="316">
        <v>405</v>
      </c>
      <c r="H993" s="530">
        <f>VLOOKUP(C993,COMPOSIÇÕES!A:J,6,FALSE)</f>
        <v>7.8158995815899575</v>
      </c>
      <c r="I993" s="287">
        <f>COMPOSIÇÕES!$J$89</f>
        <v>9.34</v>
      </c>
      <c r="J993" s="384">
        <f t="shared" si="137"/>
        <v>3782.7</v>
      </c>
    </row>
    <row r="994" spans="1:10" s="276" customFormat="1" ht="28.8">
      <c r="A994" s="263"/>
      <c r="B994" s="381" t="s">
        <v>1955</v>
      </c>
      <c r="C994" s="383" t="str">
        <f>COMPOSIÇÕES!A91</f>
        <v>38.21.920</v>
      </c>
      <c r="D994" s="383" t="str">
        <f>COMPOSIÇÕES!B91</f>
        <v>CDHU - BOLETIM 191</v>
      </c>
      <c r="E994" s="388" t="str">
        <f>COMPOSIÇÕES!C91</f>
        <v>Eletrocalha perfurada galvanizada a fogo, 100 x 50 mm, com acessórios</v>
      </c>
      <c r="F994" s="382" t="s">
        <v>412</v>
      </c>
      <c r="G994" s="316">
        <f>52*3</f>
        <v>156</v>
      </c>
      <c r="H994" s="530">
        <f>VLOOKUP(C994,COMPOSIÇÕES!A:J,6,FALSE)</f>
        <v>98.38</v>
      </c>
      <c r="I994" s="287">
        <f>COMPOSIÇÕES!$J$91</f>
        <v>117.5641</v>
      </c>
      <c r="J994" s="384">
        <f t="shared" si="137"/>
        <v>18339.999599999999</v>
      </c>
    </row>
    <row r="995" spans="1:10" s="276" customFormat="1" ht="28.8">
      <c r="A995" s="263"/>
      <c r="B995" s="381" t="s">
        <v>1956</v>
      </c>
      <c r="C995" s="383" t="str">
        <f>COMPOSIÇÕES!A92</f>
        <v>38.06.040</v>
      </c>
      <c r="D995" s="383" t="str">
        <f>COMPOSIÇÕES!B92</f>
        <v>CDHU - BOLETIM 191</v>
      </c>
      <c r="E995" s="388" t="str">
        <f>COMPOSIÇÕES!C92</f>
        <v>Eletroduto galvanizado a quente conforme NBR5598 ‐ 3/4´ com acessórios</v>
      </c>
      <c r="F995" s="382" t="s">
        <v>412</v>
      </c>
      <c r="G995" s="316">
        <f>75*3</f>
        <v>225</v>
      </c>
      <c r="H995" s="530">
        <f>VLOOKUP(C995,COMPOSIÇÕES!A:J,6,FALSE)</f>
        <v>60.65</v>
      </c>
      <c r="I995" s="287">
        <f>COMPOSIÇÕES!$J$92</f>
        <v>72.476749999999996</v>
      </c>
      <c r="J995" s="384">
        <f t="shared" si="137"/>
        <v>16307.268749999999</v>
      </c>
    </row>
    <row r="996" spans="1:10" s="276" customFormat="1" ht="28.8">
      <c r="A996" s="263"/>
      <c r="B996" s="381" t="s">
        <v>1957</v>
      </c>
      <c r="C996" s="383" t="str">
        <f>COMPOSIÇÕES!A93</f>
        <v>38.06.060</v>
      </c>
      <c r="D996" s="383" t="str">
        <f>COMPOSIÇÕES!B93</f>
        <v>CDHU - BOLETIM 191</v>
      </c>
      <c r="E996" s="388" t="str">
        <f>COMPOSIÇÕES!C93</f>
        <v>Eletroduto galvanizado a quente conforme NBR5598 ‐ 1´ com acessórios</v>
      </c>
      <c r="F996" s="382" t="s">
        <v>412</v>
      </c>
      <c r="G996" s="316">
        <f>4*3</f>
        <v>12</v>
      </c>
      <c r="H996" s="530">
        <f>VLOOKUP(C996,COMPOSIÇÕES!A:J,6,FALSE)</f>
        <v>75.38</v>
      </c>
      <c r="I996" s="287">
        <f>COMPOSIÇÕES!$J$93</f>
        <v>90.079099999999997</v>
      </c>
      <c r="J996" s="384">
        <f t="shared" si="137"/>
        <v>1080.9492</v>
      </c>
    </row>
    <row r="997" spans="1:10" s="276" customFormat="1" ht="28.8">
      <c r="A997" s="263"/>
      <c r="B997" s="381" t="s">
        <v>1958</v>
      </c>
      <c r="C997" s="383" t="str">
        <f>COMPOSIÇÕES!A142</f>
        <v>38.06.100</v>
      </c>
      <c r="D997" s="383" t="str">
        <f>COMPOSIÇÕES!B142</f>
        <v>CDHU - BOLETIM 191</v>
      </c>
      <c r="E997" s="388" t="str">
        <f>COMPOSIÇÕES!C142</f>
        <v>Eletroduto galvanizado a quente conforme NBR5598 ‐ 1 1/2´ com
acessórios</v>
      </c>
      <c r="F997" s="382" t="s">
        <v>412</v>
      </c>
      <c r="G997" s="316">
        <f>11*3</f>
        <v>33</v>
      </c>
      <c r="H997" s="530">
        <f>VLOOKUP(C997,COMPOSIÇÕES!A:J,6,FALSE)</f>
        <v>111.35</v>
      </c>
      <c r="I997" s="287">
        <f>COMPOSIÇÕES!$J$142</f>
        <v>133.06324999999998</v>
      </c>
      <c r="J997" s="384">
        <f t="shared" si="137"/>
        <v>4391.0872499999996</v>
      </c>
    </row>
    <row r="998" spans="1:10" s="276" customFormat="1" ht="28.8">
      <c r="A998" s="263"/>
      <c r="B998" s="381" t="s">
        <v>1959</v>
      </c>
      <c r="C998" s="383" t="str">
        <f>COMPOSIÇÕES!A94</f>
        <v>38.06.180</v>
      </c>
      <c r="D998" s="383" t="str">
        <f>COMPOSIÇÕES!B94</f>
        <v>CDHU - BOLETIM 191</v>
      </c>
      <c r="E998" s="388" t="str">
        <f>COMPOSIÇÕES!C94</f>
        <v>Eletroduto galvanizado a quente conforme NBR5598 ‐ 4´ com acessórios</v>
      </c>
      <c r="F998" s="382" t="s">
        <v>412</v>
      </c>
      <c r="G998" s="316">
        <f>4*3</f>
        <v>12</v>
      </c>
      <c r="H998" s="530">
        <f>VLOOKUP(C998,COMPOSIÇÕES!A:J,6,FALSE)</f>
        <v>305.01</v>
      </c>
      <c r="I998" s="287">
        <f>COMPOSIÇÕES!$J$94</f>
        <v>364.48694999999998</v>
      </c>
      <c r="J998" s="384">
        <f t="shared" si="137"/>
        <v>4373.8433999999997</v>
      </c>
    </row>
    <row r="999" spans="1:10" s="276" customFormat="1">
      <c r="A999" s="263"/>
      <c r="B999" s="381" t="s">
        <v>1960</v>
      </c>
      <c r="C999" s="382" t="s">
        <v>729</v>
      </c>
      <c r="D999" s="383" t="str">
        <f>COMPOSIÇÕES!B95</f>
        <v>FDE - 07/2023</v>
      </c>
      <c r="E999" s="344" t="s">
        <v>730</v>
      </c>
      <c r="F999" s="382" t="s">
        <v>412</v>
      </c>
      <c r="G999" s="316">
        <v>1</v>
      </c>
      <c r="H999" s="530">
        <f>VLOOKUP(C999,COMPOSIÇÕES!A:J,6,FALSE)</f>
        <v>50.77</v>
      </c>
      <c r="I999" s="287">
        <f>COMPOSIÇÕES!$J$95</f>
        <v>60.670150000000007</v>
      </c>
      <c r="J999" s="384">
        <f t="shared" si="137"/>
        <v>60.670150000000007</v>
      </c>
    </row>
    <row r="1000" spans="1:10" s="276" customFormat="1" ht="28.8">
      <c r="A1000" s="263"/>
      <c r="B1000" s="381" t="s">
        <v>1961</v>
      </c>
      <c r="C1000" s="382">
        <v>91927</v>
      </c>
      <c r="D1000" s="383" t="str">
        <f>COMPOSIÇÕES!B96</f>
        <v>SINAPI SP - 08/2023</v>
      </c>
      <c r="E1000" s="344" t="s">
        <v>770</v>
      </c>
      <c r="F1000" s="382" t="s">
        <v>412</v>
      </c>
      <c r="G1000" s="316">
        <v>1100</v>
      </c>
      <c r="H1000" s="530">
        <f>VLOOKUP(C1000,COMPOSIÇÕES!A:J,6,FALSE)</f>
        <v>4.8</v>
      </c>
      <c r="I1000" s="287">
        <f>COMPOSIÇÕES!$J$96</f>
        <v>5.7359999999999998</v>
      </c>
      <c r="J1000" s="384">
        <f t="shared" si="137"/>
        <v>6309.5999999999995</v>
      </c>
    </row>
    <row r="1001" spans="1:10" s="276" customFormat="1" ht="28.8">
      <c r="A1001" s="263"/>
      <c r="B1001" s="381" t="s">
        <v>1962</v>
      </c>
      <c r="C1001" s="382">
        <v>91927</v>
      </c>
      <c r="D1001" s="383" t="str">
        <f t="shared" ref="D1001:D1003" si="139">$D$1000</f>
        <v>SINAPI SP - 08/2023</v>
      </c>
      <c r="E1001" s="344" t="s">
        <v>771</v>
      </c>
      <c r="F1001" s="382" t="s">
        <v>412</v>
      </c>
      <c r="G1001" s="316">
        <v>1100</v>
      </c>
      <c r="H1001" s="530">
        <f>VLOOKUP(C1001,COMPOSIÇÕES!A:J,6,FALSE)</f>
        <v>4.8</v>
      </c>
      <c r="I1001" s="287">
        <f>COMPOSIÇÕES!$J$96</f>
        <v>5.7359999999999998</v>
      </c>
      <c r="J1001" s="384">
        <f t="shared" si="137"/>
        <v>6309.5999999999995</v>
      </c>
    </row>
    <row r="1002" spans="1:10" s="276" customFormat="1" ht="28.8">
      <c r="A1002" s="263"/>
      <c r="B1002" s="381" t="s">
        <v>1963</v>
      </c>
      <c r="C1002" s="382">
        <v>91927</v>
      </c>
      <c r="D1002" s="383" t="str">
        <f t="shared" si="139"/>
        <v>SINAPI SP - 08/2023</v>
      </c>
      <c r="E1002" s="344" t="s">
        <v>772</v>
      </c>
      <c r="F1002" s="382" t="s">
        <v>412</v>
      </c>
      <c r="G1002" s="316">
        <v>1100</v>
      </c>
      <c r="H1002" s="530">
        <f>VLOOKUP(C1002,COMPOSIÇÕES!A:J,6,FALSE)</f>
        <v>4.8</v>
      </c>
      <c r="I1002" s="287">
        <f>COMPOSIÇÕES!$J$96</f>
        <v>5.7359999999999998</v>
      </c>
      <c r="J1002" s="384">
        <f t="shared" si="137"/>
        <v>6309.5999999999995</v>
      </c>
    </row>
    <row r="1003" spans="1:10" s="276" customFormat="1" ht="28.8">
      <c r="A1003" s="263"/>
      <c r="B1003" s="381" t="s">
        <v>1964</v>
      </c>
      <c r="C1003" s="382">
        <v>91927</v>
      </c>
      <c r="D1003" s="383" t="str">
        <f t="shared" si="139"/>
        <v>SINAPI SP - 08/2023</v>
      </c>
      <c r="E1003" s="344" t="s">
        <v>773</v>
      </c>
      <c r="F1003" s="382" t="s">
        <v>412</v>
      </c>
      <c r="G1003" s="316">
        <v>500</v>
      </c>
      <c r="H1003" s="530">
        <f>VLOOKUP(C1003,COMPOSIÇÕES!A:J,6,FALSE)</f>
        <v>4.8</v>
      </c>
      <c r="I1003" s="287">
        <f>COMPOSIÇÕES!$J$96</f>
        <v>5.7359999999999998</v>
      </c>
      <c r="J1003" s="384">
        <f t="shared" si="137"/>
        <v>2868</v>
      </c>
    </row>
    <row r="1004" spans="1:10" s="276" customFormat="1" ht="28.8">
      <c r="A1004" s="263"/>
      <c r="B1004" s="381" t="s">
        <v>1965</v>
      </c>
      <c r="C1004" s="382">
        <v>92988</v>
      </c>
      <c r="D1004" s="383" t="str">
        <f>COMPOSIÇÕES!B99</f>
        <v>SINAPI SP - 08/2023</v>
      </c>
      <c r="E1004" s="344" t="s">
        <v>778</v>
      </c>
      <c r="F1004" s="382" t="s">
        <v>412</v>
      </c>
      <c r="G1004" s="316">
        <v>7</v>
      </c>
      <c r="H1004" s="530">
        <f>VLOOKUP(C1004,COMPOSIÇÕES!A:J,6,FALSE)</f>
        <v>46.05</v>
      </c>
      <c r="I1004" s="287">
        <f>COMPOSIÇÕES!$J$99</f>
        <v>55.029749999999993</v>
      </c>
      <c r="J1004" s="384">
        <f t="shared" si="137"/>
        <v>385.20824999999996</v>
      </c>
    </row>
    <row r="1005" spans="1:10" s="276" customFormat="1" ht="28.8">
      <c r="A1005" s="263"/>
      <c r="B1005" s="381" t="s">
        <v>1966</v>
      </c>
      <c r="C1005" s="382">
        <v>92992</v>
      </c>
      <c r="D1005" s="383" t="str">
        <f t="shared" ref="D1005:D1008" si="140">$D$1004</f>
        <v>SINAPI SP - 08/2023</v>
      </c>
      <c r="E1005" s="344" t="s">
        <v>849</v>
      </c>
      <c r="F1005" s="382" t="s">
        <v>412</v>
      </c>
      <c r="G1005" s="316">
        <v>7</v>
      </c>
      <c r="H1005" s="530">
        <f>VLOOKUP(C1005,COMPOSIÇÕES!A:J,6,FALSE)</f>
        <v>81.510000000000005</v>
      </c>
      <c r="I1005" s="287">
        <f>COMPOSIÇÕES!$J$100</f>
        <v>97.404450000000011</v>
      </c>
      <c r="J1005" s="384">
        <f t="shared" si="137"/>
        <v>681.83115000000009</v>
      </c>
    </row>
    <row r="1006" spans="1:10" s="276" customFormat="1" ht="28.8">
      <c r="A1006" s="263"/>
      <c r="B1006" s="381" t="s">
        <v>1967</v>
      </c>
      <c r="C1006" s="382">
        <v>92992</v>
      </c>
      <c r="D1006" s="383" t="str">
        <f t="shared" si="140"/>
        <v>SINAPI SP - 08/2023</v>
      </c>
      <c r="E1006" s="344" t="s">
        <v>850</v>
      </c>
      <c r="F1006" s="382" t="s">
        <v>412</v>
      </c>
      <c r="G1006" s="316">
        <v>7</v>
      </c>
      <c r="H1006" s="530">
        <f>VLOOKUP(C1006,COMPOSIÇÕES!A:J,6,FALSE)</f>
        <v>81.510000000000005</v>
      </c>
      <c r="I1006" s="287">
        <f>COMPOSIÇÕES!$J$100</f>
        <v>97.404450000000011</v>
      </c>
      <c r="J1006" s="384">
        <f t="shared" si="137"/>
        <v>681.83115000000009</v>
      </c>
    </row>
    <row r="1007" spans="1:10" s="276" customFormat="1" ht="28.8">
      <c r="A1007" s="263"/>
      <c r="B1007" s="381" t="s">
        <v>1968</v>
      </c>
      <c r="C1007" s="382">
        <v>92992</v>
      </c>
      <c r="D1007" s="383" t="str">
        <f t="shared" si="140"/>
        <v>SINAPI SP - 08/2023</v>
      </c>
      <c r="E1007" s="344" t="s">
        <v>851</v>
      </c>
      <c r="F1007" s="382" t="s">
        <v>412</v>
      </c>
      <c r="G1007" s="316">
        <v>7</v>
      </c>
      <c r="H1007" s="530">
        <f>VLOOKUP(C1007,COMPOSIÇÕES!A:J,6,FALSE)</f>
        <v>81.510000000000005</v>
      </c>
      <c r="I1007" s="287">
        <f>COMPOSIÇÕES!$J$100</f>
        <v>97.404450000000011</v>
      </c>
      <c r="J1007" s="384">
        <f t="shared" si="137"/>
        <v>681.83115000000009</v>
      </c>
    </row>
    <row r="1008" spans="1:10" s="276" customFormat="1" ht="28.8">
      <c r="A1008" s="263"/>
      <c r="B1008" s="381" t="s">
        <v>1969</v>
      </c>
      <c r="C1008" s="382">
        <v>92992</v>
      </c>
      <c r="D1008" s="383" t="str">
        <f t="shared" si="140"/>
        <v>SINAPI SP - 08/2023</v>
      </c>
      <c r="E1008" s="344" t="s">
        <v>781</v>
      </c>
      <c r="F1008" s="382" t="s">
        <v>412</v>
      </c>
      <c r="G1008" s="316">
        <v>7</v>
      </c>
      <c r="H1008" s="530">
        <f>VLOOKUP(C1008,COMPOSIÇÕES!A:J,6,FALSE)</f>
        <v>81.510000000000005</v>
      </c>
      <c r="I1008" s="287">
        <f>COMPOSIÇÕES!$J$100</f>
        <v>97.404450000000011</v>
      </c>
      <c r="J1008" s="384">
        <f t="shared" si="137"/>
        <v>681.83115000000009</v>
      </c>
    </row>
    <row r="1009" spans="1:10" s="276" customFormat="1" ht="28.8">
      <c r="A1009" s="263"/>
      <c r="B1009" s="381" t="s">
        <v>1970</v>
      </c>
      <c r="C1009" s="382">
        <v>92994</v>
      </c>
      <c r="D1009" s="383" t="str">
        <f>COMPOSIÇÕES!B143</f>
        <v>SINAPI SP - 08/2023</v>
      </c>
      <c r="E1009" s="344" t="s">
        <v>841</v>
      </c>
      <c r="F1009" s="382" t="s">
        <v>412</v>
      </c>
      <c r="G1009" s="316">
        <v>20</v>
      </c>
      <c r="H1009" s="530">
        <f>VLOOKUP(C1009,COMPOSIÇÕES!A:J,6,FALSE)</f>
        <v>105.42</v>
      </c>
      <c r="I1009" s="287">
        <f>COMPOSIÇÕES!$J$143</f>
        <v>125.9769</v>
      </c>
      <c r="J1009" s="384">
        <f t="shared" si="137"/>
        <v>2519.538</v>
      </c>
    </row>
    <row r="1010" spans="1:10" s="276" customFormat="1" ht="28.8">
      <c r="A1010" s="263"/>
      <c r="B1010" s="381" t="s">
        <v>1971</v>
      </c>
      <c r="C1010" s="382">
        <v>93000</v>
      </c>
      <c r="D1010" s="535" t="str">
        <f>VLOOKUP(C1010,COMPOSIÇÕES!A:J,2,FALSE)</f>
        <v>SINAPI SP - 08/2023</v>
      </c>
      <c r="E1010" s="344" t="s">
        <v>865</v>
      </c>
      <c r="F1010" s="382" t="s">
        <v>412</v>
      </c>
      <c r="G1010" s="316">
        <v>20</v>
      </c>
      <c r="H1010" s="530">
        <f>VLOOKUP(C1010,COMPOSIÇÕES!A:J,6,FALSE)</f>
        <v>205.75</v>
      </c>
      <c r="I1010" s="287">
        <f>COMPOSIÇÕES!$J$217</f>
        <v>245.87125</v>
      </c>
      <c r="J1010" s="384">
        <f t="shared" si="137"/>
        <v>4917.4250000000002</v>
      </c>
    </row>
    <row r="1011" spans="1:10" s="276" customFormat="1" ht="28.8">
      <c r="A1011" s="263"/>
      <c r="B1011" s="381" t="s">
        <v>1972</v>
      </c>
      <c r="C1011" s="382">
        <v>93000</v>
      </c>
      <c r="D1011" s="535" t="str">
        <f>VLOOKUP(C1011,COMPOSIÇÕES!A:J,2,FALSE)</f>
        <v>SINAPI SP - 08/2023</v>
      </c>
      <c r="E1011" s="344" t="s">
        <v>866</v>
      </c>
      <c r="F1011" s="382" t="s">
        <v>412</v>
      </c>
      <c r="G1011" s="316">
        <v>20</v>
      </c>
      <c r="H1011" s="530">
        <f>VLOOKUP(C1011,COMPOSIÇÕES!A:J,6,FALSE)</f>
        <v>205.75</v>
      </c>
      <c r="I1011" s="287">
        <f>COMPOSIÇÕES!$J$217</f>
        <v>245.87125</v>
      </c>
      <c r="J1011" s="384">
        <f t="shared" si="137"/>
        <v>4917.4250000000002</v>
      </c>
    </row>
    <row r="1012" spans="1:10" s="276" customFormat="1" ht="28.8">
      <c r="A1012" s="263"/>
      <c r="B1012" s="381" t="s">
        <v>1973</v>
      </c>
      <c r="C1012" s="382">
        <v>93000</v>
      </c>
      <c r="D1012" s="535" t="str">
        <f>VLOOKUP(C1012,COMPOSIÇÕES!A:J,2,FALSE)</f>
        <v>SINAPI SP - 08/2023</v>
      </c>
      <c r="E1012" s="344" t="s">
        <v>867</v>
      </c>
      <c r="F1012" s="382" t="s">
        <v>412</v>
      </c>
      <c r="G1012" s="316">
        <v>20</v>
      </c>
      <c r="H1012" s="530">
        <f>VLOOKUP(C1012,COMPOSIÇÕES!A:J,6,FALSE)</f>
        <v>205.75</v>
      </c>
      <c r="I1012" s="287">
        <f>COMPOSIÇÕES!$J$217</f>
        <v>245.87125</v>
      </c>
      <c r="J1012" s="384">
        <f t="shared" si="137"/>
        <v>4917.4250000000002</v>
      </c>
    </row>
    <row r="1013" spans="1:10" s="276" customFormat="1" ht="28.8">
      <c r="A1013" s="263"/>
      <c r="B1013" s="381" t="s">
        <v>1974</v>
      </c>
      <c r="C1013" s="382">
        <v>93000</v>
      </c>
      <c r="D1013" s="535" t="str">
        <f>VLOOKUP(C1013,COMPOSIÇÕES!A:J,2,FALSE)</f>
        <v>SINAPI SP - 08/2023</v>
      </c>
      <c r="E1013" s="344" t="s">
        <v>868</v>
      </c>
      <c r="F1013" s="382" t="s">
        <v>412</v>
      </c>
      <c r="G1013" s="316">
        <v>20</v>
      </c>
      <c r="H1013" s="530">
        <f>VLOOKUP(C1013,COMPOSIÇÕES!A:J,6,FALSE)</f>
        <v>205.75</v>
      </c>
      <c r="I1013" s="287">
        <f>COMPOSIÇÕES!$J$217</f>
        <v>245.87125</v>
      </c>
      <c r="J1013" s="384">
        <f t="shared" si="137"/>
        <v>4917.4250000000002</v>
      </c>
    </row>
    <row r="1014" spans="1:10" s="276" customFormat="1">
      <c r="A1014" s="263"/>
      <c r="B1014" s="381" t="s">
        <v>1975</v>
      </c>
      <c r="C1014" s="382" t="s">
        <v>711</v>
      </c>
      <c r="D1014" s="383" t="str">
        <f>COMPOSIÇÕES!B104</f>
        <v>FDE - 07/2023</v>
      </c>
      <c r="E1014" s="344" t="s">
        <v>731</v>
      </c>
      <c r="F1014" s="382" t="s">
        <v>431</v>
      </c>
      <c r="G1014" s="316">
        <v>4</v>
      </c>
      <c r="H1014" s="530">
        <f>COMPOSIÇÕES!F104</f>
        <v>34.06</v>
      </c>
      <c r="I1014" s="287">
        <f>COMPOSIÇÕES!$J$104</f>
        <v>40.701700000000002</v>
      </c>
      <c r="J1014" s="384">
        <f t="shared" si="137"/>
        <v>162.80680000000001</v>
      </c>
    </row>
    <row r="1015" spans="1:10" s="276" customFormat="1">
      <c r="A1015" s="263"/>
      <c r="B1015" s="381" t="s">
        <v>1976</v>
      </c>
      <c r="C1015" s="382" t="s">
        <v>711</v>
      </c>
      <c r="D1015" s="383" t="str">
        <f>COMPOSIÇÕES!B105</f>
        <v>FDE - 07/2023</v>
      </c>
      <c r="E1015" s="344" t="s">
        <v>733</v>
      </c>
      <c r="F1015" s="382" t="s">
        <v>431</v>
      </c>
      <c r="G1015" s="316">
        <v>12</v>
      </c>
      <c r="H1015" s="530">
        <f>COMPOSIÇÕES!F105</f>
        <v>43.51</v>
      </c>
      <c r="I1015" s="287">
        <f>COMPOSIÇÕES!$J$105</f>
        <v>51.994450000000001</v>
      </c>
      <c r="J1015" s="384">
        <f t="shared" si="137"/>
        <v>623.93340000000001</v>
      </c>
    </row>
    <row r="1016" spans="1:10" s="276" customFormat="1">
      <c r="A1016" s="263"/>
      <c r="B1016" s="381" t="s">
        <v>1977</v>
      </c>
      <c r="C1016" s="382" t="s">
        <v>711</v>
      </c>
      <c r="D1016" s="383" t="str">
        <f>COMPOSIÇÕES!B145</f>
        <v>FDE - 07/2023</v>
      </c>
      <c r="E1016" s="344" t="s">
        <v>870</v>
      </c>
      <c r="F1016" s="382" t="s">
        <v>431</v>
      </c>
      <c r="G1016" s="316">
        <v>6</v>
      </c>
      <c r="H1016" s="530">
        <f>COMPOSIÇÕES!F145</f>
        <v>56.55</v>
      </c>
      <c r="I1016" s="287">
        <f>COMPOSIÇÕES!$J$145</f>
        <v>67.577249999999992</v>
      </c>
      <c r="J1016" s="384">
        <f t="shared" si="137"/>
        <v>405.46349999999995</v>
      </c>
    </row>
    <row r="1017" spans="1:10" s="276" customFormat="1">
      <c r="A1017" s="263"/>
      <c r="B1017" s="381" t="s">
        <v>1978</v>
      </c>
      <c r="C1017" s="382" t="s">
        <v>711</v>
      </c>
      <c r="D1017" s="383" t="str">
        <f>COMPOSIÇÕES!B219</f>
        <v>FDE - 07/2023</v>
      </c>
      <c r="E1017" s="344" t="s">
        <v>873</v>
      </c>
      <c r="F1017" s="382" t="s">
        <v>431</v>
      </c>
      <c r="G1017" s="316">
        <v>12</v>
      </c>
      <c r="H1017" s="530">
        <f>COMPOSIÇÕES!F219</f>
        <v>62.84</v>
      </c>
      <c r="I1017" s="287">
        <f>COMPOSIÇÕES!$J$219</f>
        <v>75.093800000000002</v>
      </c>
      <c r="J1017" s="384">
        <f t="shared" si="137"/>
        <v>901.12560000000008</v>
      </c>
    </row>
    <row r="1018" spans="1:10" s="263" customFormat="1" ht="72">
      <c r="B1018" s="381" t="s">
        <v>1979</v>
      </c>
      <c r="C1018" s="275" t="s">
        <v>711</v>
      </c>
      <c r="D1018" s="277" t="str">
        <f>COMPOSIÇÕES!B277</f>
        <v>CDHU - BOLETIM 191 + FDE - 07/2023 + SINAPI SP - 08/2023</v>
      </c>
      <c r="E1018" s="278" t="s">
        <v>1026</v>
      </c>
      <c r="F1018" s="275" t="s">
        <v>530</v>
      </c>
      <c r="G1018" s="313">
        <v>1</v>
      </c>
      <c r="H1018" s="301">
        <f>SUM(COMPOSIÇÕES!G278:G284)</f>
        <v>11834.426001673641</v>
      </c>
      <c r="I1018" s="286">
        <f>COMPOSIÇÕES!$J$277</f>
        <v>14142.139072</v>
      </c>
      <c r="J1018" s="295">
        <f t="shared" si="137"/>
        <v>14142.139072</v>
      </c>
    </row>
    <row r="1019" spans="1:10" s="263" customFormat="1">
      <c r="B1019" s="579" t="s">
        <v>1982</v>
      </c>
      <c r="C1019" s="580"/>
      <c r="D1019" s="580"/>
      <c r="E1019" s="580"/>
      <c r="F1019" s="580"/>
      <c r="G1019" s="580"/>
      <c r="H1019" s="580"/>
      <c r="I1019" s="581"/>
      <c r="J1019" s="296">
        <f>SUM(J983:J1018)</f>
        <v>123931.7691506179</v>
      </c>
    </row>
    <row r="1020" spans="1:10" s="263" customFormat="1">
      <c r="B1020" s="237" t="s">
        <v>1980</v>
      </c>
      <c r="C1020" s="238"/>
      <c r="D1020" s="533"/>
      <c r="E1020" s="239" t="s">
        <v>650</v>
      </c>
      <c r="F1020" s="238"/>
      <c r="G1020" s="312"/>
      <c r="H1020" s="300"/>
      <c r="I1020" s="285"/>
      <c r="J1020" s="294"/>
    </row>
    <row r="1021" spans="1:10" s="276" customFormat="1">
      <c r="A1021" s="263"/>
      <c r="B1021" s="381" t="s">
        <v>1981</v>
      </c>
      <c r="C1021" s="382" t="s">
        <v>708</v>
      </c>
      <c r="D1021" s="383" t="str">
        <f>COMPOSIÇÕES!B115</f>
        <v>FDE - 07/2023</v>
      </c>
      <c r="E1021" s="344" t="s">
        <v>651</v>
      </c>
      <c r="F1021" s="382" t="s">
        <v>541</v>
      </c>
      <c r="G1021" s="316">
        <v>100</v>
      </c>
      <c r="H1021" s="290">
        <f>COMPOSIÇÕES!$G$116</f>
        <v>5.116260162601626</v>
      </c>
      <c r="I1021" s="287">
        <f>COMPOSIÇÕES!$J$115</f>
        <v>6.1139308943089432</v>
      </c>
      <c r="J1021" s="384">
        <f>G1021*I1021</f>
        <v>611.39308943089429</v>
      </c>
    </row>
    <row r="1022" spans="1:10" s="263" customFormat="1">
      <c r="B1022" s="579" t="s">
        <v>1983</v>
      </c>
      <c r="C1022" s="580"/>
      <c r="D1022" s="580"/>
      <c r="E1022" s="580"/>
      <c r="F1022" s="580"/>
      <c r="G1022" s="580"/>
      <c r="H1022" s="580"/>
      <c r="I1022" s="581"/>
      <c r="J1022" s="296">
        <f>J1021</f>
        <v>611.39308943089429</v>
      </c>
    </row>
    <row r="1023" spans="1:10" s="263" customFormat="1" ht="25.5" customHeight="1" thickBot="1">
      <c r="B1023" s="564" t="s">
        <v>662</v>
      </c>
      <c r="C1023" s="565"/>
      <c r="D1023" s="565"/>
      <c r="E1023" s="565"/>
      <c r="F1023" s="565"/>
      <c r="G1023" s="565"/>
      <c r="H1023" s="565"/>
      <c r="I1023" s="566"/>
      <c r="J1023" s="297">
        <f>SUM(J960++J981+J1019+J1022)</f>
        <v>250987.74332702754</v>
      </c>
    </row>
    <row r="1024" spans="1:10" s="263" customFormat="1">
      <c r="B1024" s="264" t="s">
        <v>1984</v>
      </c>
      <c r="C1024" s="265"/>
      <c r="D1024" s="534"/>
      <c r="E1024" s="266" t="s">
        <v>528</v>
      </c>
      <c r="F1024" s="265"/>
      <c r="G1024" s="310"/>
      <c r="H1024" s="298"/>
      <c r="I1024" s="283"/>
      <c r="J1024" s="292"/>
    </row>
    <row r="1025" spans="1:10" s="263" customFormat="1" ht="6" customHeight="1">
      <c r="B1025" s="234"/>
      <c r="C1025" s="235"/>
      <c r="D1025" s="532"/>
      <c r="E1025" s="236"/>
      <c r="F1025" s="235"/>
      <c r="G1025" s="311"/>
      <c r="H1025" s="299"/>
      <c r="I1025" s="284"/>
      <c r="J1025" s="293"/>
    </row>
    <row r="1026" spans="1:10" s="263" customFormat="1">
      <c r="B1026" s="237" t="s">
        <v>1985</v>
      </c>
      <c r="C1026" s="238"/>
      <c r="D1026" s="533"/>
      <c r="E1026" s="239" t="s">
        <v>483</v>
      </c>
      <c r="F1026" s="238"/>
      <c r="G1026" s="312"/>
      <c r="H1026" s="300"/>
      <c r="I1026" s="285"/>
      <c r="J1026" s="294"/>
    </row>
    <row r="1027" spans="1:10" s="150" customFormat="1">
      <c r="B1027" s="381" t="s">
        <v>1986</v>
      </c>
      <c r="C1027" s="382" t="str">
        <f t="shared" ref="C1027:I1028" si="141">C958</f>
        <v>16.06.076</v>
      </c>
      <c r="D1027" s="383" t="str">
        <f t="shared" si="141"/>
        <v>FDE - 07/2023</v>
      </c>
      <c r="E1027" s="344" t="str">
        <f t="shared" si="141"/>
        <v>FORNECIMENTO E INSTALAÇAO DE PLACAS DE OBRA</v>
      </c>
      <c r="F1027" s="382" t="str">
        <f t="shared" si="141"/>
        <v>M²</v>
      </c>
      <c r="G1027" s="316">
        <f t="shared" si="141"/>
        <v>5</v>
      </c>
      <c r="H1027" s="290">
        <f t="shared" si="141"/>
        <v>407.8057</v>
      </c>
      <c r="I1027" s="287">
        <f t="shared" si="141"/>
        <v>487.3278115</v>
      </c>
      <c r="J1027" s="384">
        <f>G1027*I1027</f>
        <v>2436.6390575</v>
      </c>
    </row>
    <row r="1028" spans="1:10" s="150" customFormat="1" ht="28.8">
      <c r="B1028" s="381" t="s">
        <v>1987</v>
      </c>
      <c r="C1028" s="382">
        <f t="shared" si="141"/>
        <v>37524</v>
      </c>
      <c r="D1028" s="383" t="str">
        <f t="shared" si="141"/>
        <v>SINAPI SP - 08/2023</v>
      </c>
      <c r="E1028" s="344" t="str">
        <f t="shared" si="141"/>
        <v>TELA PLASTICA LARANJA, TIPO TAPUME PARA SINALIZACAO, MALHA RETANGULAR, ROLO 1.20 X 50 M (L X C)</v>
      </c>
      <c r="F1028" s="382" t="str">
        <f t="shared" si="141"/>
        <v>M²</v>
      </c>
      <c r="G1028" s="316">
        <f t="shared" si="141"/>
        <v>40</v>
      </c>
      <c r="H1028" s="290">
        <f t="shared" si="141"/>
        <v>2</v>
      </c>
      <c r="I1028" s="287">
        <f t="shared" si="141"/>
        <v>2.39</v>
      </c>
      <c r="J1028" s="384">
        <f>G1028*I1028</f>
        <v>95.600000000000009</v>
      </c>
    </row>
    <row r="1029" spans="1:10" s="263" customFormat="1">
      <c r="B1029" s="579" t="s">
        <v>2041</v>
      </c>
      <c r="C1029" s="580"/>
      <c r="D1029" s="580"/>
      <c r="E1029" s="580"/>
      <c r="F1029" s="580"/>
      <c r="G1029" s="580"/>
      <c r="H1029" s="580"/>
      <c r="I1029" s="581"/>
      <c r="J1029" s="296">
        <f>SUM(J1027:J1028)</f>
        <v>2532.2390574999999</v>
      </c>
    </row>
    <row r="1030" spans="1:10" s="263" customFormat="1">
      <c r="B1030" s="237" t="s">
        <v>1988</v>
      </c>
      <c r="C1030" s="238"/>
      <c r="D1030" s="533"/>
      <c r="E1030" s="239" t="s">
        <v>525</v>
      </c>
      <c r="F1030" s="238"/>
      <c r="G1030" s="312"/>
      <c r="H1030" s="300"/>
      <c r="I1030" s="285"/>
      <c r="J1030" s="294"/>
    </row>
    <row r="1031" spans="1:10" s="276" customFormat="1" ht="28.8">
      <c r="B1031" s="381" t="s">
        <v>1989</v>
      </c>
      <c r="C1031" s="382" t="s">
        <v>711</v>
      </c>
      <c r="D1031" s="383" t="str">
        <f>COMPOSIÇÕES!B10</f>
        <v>SINAPI SP - 08/2023</v>
      </c>
      <c r="E1031" s="487" t="s">
        <v>2404</v>
      </c>
      <c r="F1031" s="382" t="s">
        <v>431</v>
      </c>
      <c r="G1031" s="315">
        <v>20</v>
      </c>
      <c r="H1031" s="290">
        <f>SUM(COMPOSIÇÕES!G11:G13)</f>
        <v>328.17395199999999</v>
      </c>
      <c r="I1031" s="287">
        <f>COMPOSIÇÕES!J10</f>
        <v>392.16787263999993</v>
      </c>
      <c r="J1031" s="384">
        <f t="shared" ref="J1031:J1047" si="142">G1031*I1031</f>
        <v>7843.357452799999</v>
      </c>
    </row>
    <row r="1032" spans="1:10" s="150" customFormat="1" ht="86.4">
      <c r="B1032" s="381" t="s">
        <v>1990</v>
      </c>
      <c r="C1032" s="382" t="s">
        <v>711</v>
      </c>
      <c r="D1032" s="383" t="str">
        <f>COMPOSIÇÕES!B14</f>
        <v>SINAPI SP - 08/2023</v>
      </c>
      <c r="E1032" s="344" t="s">
        <v>754</v>
      </c>
      <c r="F1032" s="382" t="s">
        <v>412</v>
      </c>
      <c r="G1032" s="316">
        <v>8</v>
      </c>
      <c r="H1032" s="290">
        <f>COMPOSIÇÕES!G15+COMPOSIÇÕES!G16+COMPOSIÇÕES!G17+COMPOSIÇÕES!G18</f>
        <v>37.264400000000002</v>
      </c>
      <c r="I1032" s="287">
        <f>COMPOSIÇÕES!$J$14</f>
        <v>44.530958000000005</v>
      </c>
      <c r="J1032" s="384">
        <f t="shared" si="142"/>
        <v>356.24766400000004</v>
      </c>
    </row>
    <row r="1033" spans="1:10" s="150" customFormat="1" ht="86.4">
      <c r="B1033" s="381" t="s">
        <v>1991</v>
      </c>
      <c r="C1033" s="382" t="s">
        <v>711</v>
      </c>
      <c r="D1033" s="383" t="str">
        <f>COMPOSIÇÕES!B19</f>
        <v>SINAPI SP - 08/2023</v>
      </c>
      <c r="E1033" s="344" t="s">
        <v>755</v>
      </c>
      <c r="F1033" s="382" t="s">
        <v>412</v>
      </c>
      <c r="G1033" s="316">
        <v>8</v>
      </c>
      <c r="H1033" s="290">
        <f>SUM(COMPOSIÇÕES!G20:G23)</f>
        <v>69.234999999999985</v>
      </c>
      <c r="I1033" s="287">
        <f>COMPOSIÇÕES!$J$19</f>
        <v>82.735824999999991</v>
      </c>
      <c r="J1033" s="384">
        <f t="shared" si="142"/>
        <v>661.88659999999993</v>
      </c>
    </row>
    <row r="1034" spans="1:10" s="150" customFormat="1" ht="86.4">
      <c r="B1034" s="381" t="s">
        <v>1992</v>
      </c>
      <c r="C1034" s="382" t="s">
        <v>711</v>
      </c>
      <c r="D1034" s="383" t="str">
        <f>COMPOSIÇÕES!B24</f>
        <v>SINAPI SP - 08/2023</v>
      </c>
      <c r="E1034" s="344" t="s">
        <v>747</v>
      </c>
      <c r="F1034" s="382" t="s">
        <v>412</v>
      </c>
      <c r="G1034" s="316">
        <v>95</v>
      </c>
      <c r="H1034" s="290">
        <f>SUM(COMPOSIÇÕES!G25:G28)</f>
        <v>53.322000000000003</v>
      </c>
      <c r="I1034" s="287">
        <f>COMPOSIÇÕES!$J$24</f>
        <v>63.719789999999996</v>
      </c>
      <c r="J1034" s="384">
        <f t="shared" si="142"/>
        <v>6053.3800499999998</v>
      </c>
    </row>
    <row r="1035" spans="1:10" s="393" customFormat="1" ht="86.4">
      <c r="A1035" s="150"/>
      <c r="B1035" s="381" t="s">
        <v>1993</v>
      </c>
      <c r="C1035" s="394" t="s">
        <v>711</v>
      </c>
      <c r="D1035" s="389" t="str">
        <f>COMPOSIÇÕES!B29</f>
        <v xml:space="preserve">SINAPI SP - 08/2023 </v>
      </c>
      <c r="E1035" s="395" t="s">
        <v>748</v>
      </c>
      <c r="F1035" s="394" t="s">
        <v>412</v>
      </c>
      <c r="G1035" s="402">
        <v>95</v>
      </c>
      <c r="H1035" s="392">
        <f>SUM(COMPOSIÇÕES!G30:G33)</f>
        <v>85.438000000000002</v>
      </c>
      <c r="I1035" s="396">
        <f>COMPOSIÇÕES!$J$29</f>
        <v>102.09840999999999</v>
      </c>
      <c r="J1035" s="397">
        <f t="shared" si="142"/>
        <v>9699.3489499999996</v>
      </c>
    </row>
    <row r="1036" spans="1:10" s="393" customFormat="1" ht="28.8">
      <c r="A1036" s="150"/>
      <c r="B1036" s="381" t="s">
        <v>1994</v>
      </c>
      <c r="C1036" s="394" t="str">
        <f t="shared" ref="C1036:I1036" si="143">C967</f>
        <v>22.02.030</v>
      </c>
      <c r="D1036" s="389" t="str">
        <f t="shared" si="143"/>
        <v>CDHU - BOLETIM 191</v>
      </c>
      <c r="E1036" s="395" t="str">
        <f t="shared" si="143"/>
        <v>Forro em painéis de gesso acartonado, espessura de 12,5mm, fixo</v>
      </c>
      <c r="F1036" s="394" t="str">
        <f t="shared" si="143"/>
        <v>M²</v>
      </c>
      <c r="G1036" s="402">
        <f>7.2*0.55*2*10</f>
        <v>79.2</v>
      </c>
      <c r="H1036" s="392">
        <f t="shared" si="143"/>
        <v>99.47</v>
      </c>
      <c r="I1036" s="396">
        <f t="shared" si="143"/>
        <v>118.86664999999999</v>
      </c>
      <c r="J1036" s="397">
        <f t="shared" si="142"/>
        <v>9414.2386800000004</v>
      </c>
    </row>
    <row r="1037" spans="1:10" s="150" customFormat="1" ht="57.6">
      <c r="B1037" s="381" t="s">
        <v>1995</v>
      </c>
      <c r="C1037" s="382" t="s">
        <v>711</v>
      </c>
      <c r="D1037" s="383" t="str">
        <f>COMPOSIÇÕES!B36</f>
        <v xml:space="preserve">SINAPI SP - 08/2023 </v>
      </c>
      <c r="E1037" s="398" t="s">
        <v>756</v>
      </c>
      <c r="F1037" s="382" t="s">
        <v>413</v>
      </c>
      <c r="G1037" s="315">
        <v>400</v>
      </c>
      <c r="H1037" s="287">
        <f>SUM(COMPOSIÇÕES!G37:G39)</f>
        <v>84.94</v>
      </c>
      <c r="I1037" s="287">
        <f>COMPOSIÇÕES!$J$36</f>
        <v>101.5033</v>
      </c>
      <c r="J1037" s="384">
        <f t="shared" si="142"/>
        <v>40601.32</v>
      </c>
    </row>
    <row r="1038" spans="1:10" s="335" customFormat="1" ht="28.8">
      <c r="A1038" s="150"/>
      <c r="B1038" s="381" t="s">
        <v>1996</v>
      </c>
      <c r="C1038" s="383" t="str">
        <f>COMPOSIÇÕES!A44</f>
        <v>61.10.565</v>
      </c>
      <c r="D1038" s="383" t="str">
        <f>COMPOSIÇÕES!B44</f>
        <v>CDHU - BOLETIM 191</v>
      </c>
      <c r="E1038" s="388" t="s">
        <v>1042</v>
      </c>
      <c r="F1038" s="382" t="s">
        <v>431</v>
      </c>
      <c r="G1038" s="315">
        <v>6</v>
      </c>
      <c r="H1038" s="287">
        <f>SUM(COMPOSIÇÕES!G45)</f>
        <v>248.91654375000002</v>
      </c>
      <c r="I1038" s="287">
        <f>COMPOSIÇÕES!$J$44</f>
        <v>297.45526978125002</v>
      </c>
      <c r="J1038" s="384">
        <f t="shared" si="142"/>
        <v>1784.7316186875</v>
      </c>
    </row>
    <row r="1039" spans="1:10" s="335" customFormat="1" ht="28.8">
      <c r="A1039" s="150"/>
      <c r="B1039" s="381" t="s">
        <v>1997</v>
      </c>
      <c r="C1039" s="383" t="str">
        <f>COMPOSIÇÕES!A46</f>
        <v>61.10.564</v>
      </c>
      <c r="D1039" s="383" t="str">
        <f>COMPOSIÇÕES!B46</f>
        <v>CDHU - BOLETIM 191</v>
      </c>
      <c r="E1039" s="388" t="s">
        <v>1043</v>
      </c>
      <c r="F1039" s="382" t="s">
        <v>431</v>
      </c>
      <c r="G1039" s="315">
        <v>2</v>
      </c>
      <c r="H1039" s="287">
        <f>SUM(COMPOSIÇÕES!G47)</f>
        <v>49.947131250000005</v>
      </c>
      <c r="I1039" s="287">
        <f>COMPOSIÇÕES!$J$46</f>
        <v>59.68682184375001</v>
      </c>
      <c r="J1039" s="384">
        <f t="shared" si="142"/>
        <v>119.37364368750002</v>
      </c>
    </row>
    <row r="1040" spans="1:10" s="335" customFormat="1" ht="28.8">
      <c r="A1040" s="150"/>
      <c r="B1040" s="381" t="s">
        <v>1998</v>
      </c>
      <c r="C1040" s="383" t="str">
        <f>COMPOSIÇÕES!A48</f>
        <v>61.10.564</v>
      </c>
      <c r="D1040" s="383" t="str">
        <f>COMPOSIÇÕES!B48</f>
        <v>CDHU - BOLETIM 191</v>
      </c>
      <c r="E1040" s="388" t="s">
        <v>1044</v>
      </c>
      <c r="F1040" s="382" t="s">
        <v>431</v>
      </c>
      <c r="G1040" s="315">
        <v>1</v>
      </c>
      <c r="H1040" s="287">
        <f>SUM(COMPOSIÇÕES!G49)</f>
        <v>82.875240000000005</v>
      </c>
      <c r="I1040" s="287">
        <f>COMPOSIÇÕES!$J$48</f>
        <v>99.035911800000008</v>
      </c>
      <c r="J1040" s="384">
        <f t="shared" si="142"/>
        <v>99.035911800000008</v>
      </c>
    </row>
    <row r="1041" spans="1:10" s="335" customFormat="1" ht="28.8">
      <c r="A1041" s="150"/>
      <c r="B1041" s="381" t="s">
        <v>1999</v>
      </c>
      <c r="C1041" s="383" t="str">
        <f>COMPOSIÇÕES!A50</f>
        <v>61.10.564</v>
      </c>
      <c r="D1041" s="383" t="str">
        <f>COMPOSIÇÕES!B50</f>
        <v>CDHU - BOLETIM 191</v>
      </c>
      <c r="E1041" s="388" t="s">
        <v>1045</v>
      </c>
      <c r="F1041" s="382" t="s">
        <v>431</v>
      </c>
      <c r="G1041" s="317">
        <v>1</v>
      </c>
      <c r="H1041" s="287">
        <f>COMPOSIÇÕES!G51</f>
        <v>120.24309375</v>
      </c>
      <c r="I1041" s="287">
        <f>COMPOSIÇÕES!J50</f>
        <v>143.69049703125</v>
      </c>
      <c r="J1041" s="384">
        <f t="shared" si="142"/>
        <v>143.69049703125</v>
      </c>
    </row>
    <row r="1042" spans="1:10" s="150" customFormat="1" ht="28.8">
      <c r="B1042" s="381" t="s">
        <v>2000</v>
      </c>
      <c r="C1042" s="383" t="str">
        <f>COMPOSIÇÕES!A52</f>
        <v>61.10.581</v>
      </c>
      <c r="D1042" s="383" t="str">
        <f>COMPOSIÇÕES!B52</f>
        <v>CDHU - BOLETIM 191</v>
      </c>
      <c r="E1042" s="388" t="s">
        <v>1120</v>
      </c>
      <c r="F1042" s="382" t="s">
        <v>431</v>
      </c>
      <c r="G1042" s="315">
        <v>1</v>
      </c>
      <c r="H1042" s="287">
        <f>COMPOSIÇÕES!G53</f>
        <v>190.63124999999999</v>
      </c>
      <c r="I1042" s="287">
        <f>COMPOSIÇÕES!$J$52</f>
        <v>227.80434374999999</v>
      </c>
      <c r="J1042" s="384">
        <f t="shared" si="142"/>
        <v>227.80434374999999</v>
      </c>
    </row>
    <row r="1043" spans="1:10" s="150" customFormat="1" ht="28.8">
      <c r="B1043" s="381" t="s">
        <v>2001</v>
      </c>
      <c r="C1043" s="383" t="str">
        <f>COMPOSIÇÕES!A124</f>
        <v>61.10.581</v>
      </c>
      <c r="D1043" s="383" t="str">
        <f>COMPOSIÇÕES!B124</f>
        <v>CDHU - BOLETIM 191</v>
      </c>
      <c r="E1043" s="388" t="s">
        <v>1119</v>
      </c>
      <c r="F1043" s="382" t="s">
        <v>431</v>
      </c>
      <c r="G1043" s="317">
        <v>5</v>
      </c>
      <c r="H1043" s="287">
        <f>SUM(COMPOSIÇÕES!$G$125:$G$125)</f>
        <v>203.34</v>
      </c>
      <c r="I1043" s="287">
        <f>COMPOSIÇÕES!$J$124</f>
        <v>242.9913</v>
      </c>
      <c r="J1043" s="384">
        <f t="shared" si="142"/>
        <v>1214.9565</v>
      </c>
    </row>
    <row r="1044" spans="1:10" s="150" customFormat="1" ht="28.8">
      <c r="B1044" s="381" t="s">
        <v>2002</v>
      </c>
      <c r="C1044" s="383" t="str">
        <f>COMPOSIÇÕES!A56</f>
        <v>61.10.581</v>
      </c>
      <c r="D1044" s="383" t="str">
        <f>COMPOSIÇÕES!B56</f>
        <v>CDHU - BOLETIM 191</v>
      </c>
      <c r="E1044" s="388" t="s">
        <v>1117</v>
      </c>
      <c r="F1044" s="382" t="s">
        <v>431</v>
      </c>
      <c r="G1044" s="315">
        <v>2</v>
      </c>
      <c r="H1044" s="287">
        <f>COMPOSIÇÕES!G57</f>
        <v>16.945000000000004</v>
      </c>
      <c r="I1044" s="287">
        <f>COMPOSIÇÕES!$J$56</f>
        <v>20.249275000000004</v>
      </c>
      <c r="J1044" s="384">
        <f t="shared" si="142"/>
        <v>40.498550000000009</v>
      </c>
    </row>
    <row r="1045" spans="1:10" s="150" customFormat="1" ht="28.8">
      <c r="B1045" s="381" t="s">
        <v>2003</v>
      </c>
      <c r="C1045" s="383" t="str">
        <f>COMPOSIÇÕES!A122</f>
        <v>61.10.581</v>
      </c>
      <c r="D1045" s="383" t="str">
        <f>COMPOSIÇÕES!B122</f>
        <v>CDHU - BOLETIM 191</v>
      </c>
      <c r="E1045" s="388" t="s">
        <v>809</v>
      </c>
      <c r="F1045" s="382" t="s">
        <v>431</v>
      </c>
      <c r="G1045" s="317">
        <v>1</v>
      </c>
      <c r="H1045" s="287">
        <f>SUM(COMPOSIÇÕES!$G$123:$G$123)</f>
        <v>33.890000000000008</v>
      </c>
      <c r="I1045" s="287">
        <f>COMPOSIÇÕES!$J$122</f>
        <v>40.498550000000009</v>
      </c>
      <c r="J1045" s="384">
        <f t="shared" si="142"/>
        <v>40.498550000000009</v>
      </c>
    </row>
    <row r="1046" spans="1:10" s="150" customFormat="1" ht="28.8">
      <c r="B1046" s="381" t="s">
        <v>2004</v>
      </c>
      <c r="C1046" s="383" t="str">
        <f>COMPOSIÇÕES!A126</f>
        <v>61.10.581</v>
      </c>
      <c r="D1046" s="383" t="str">
        <f>COMPOSIÇÕES!B126</f>
        <v>CDHU - BOLETIM 191</v>
      </c>
      <c r="E1046" s="388" t="s">
        <v>1118</v>
      </c>
      <c r="F1046" s="382" t="s">
        <v>431</v>
      </c>
      <c r="G1046" s="317">
        <v>1</v>
      </c>
      <c r="H1046" s="287">
        <f>COMPOSIÇÕES!G127</f>
        <v>101.67</v>
      </c>
      <c r="I1046" s="287">
        <f>COMPOSIÇÕES!J126</f>
        <v>121.49565</v>
      </c>
      <c r="J1046" s="384">
        <f t="shared" si="142"/>
        <v>121.49565</v>
      </c>
    </row>
    <row r="1047" spans="1:10" s="150" customFormat="1" ht="28.8">
      <c r="A1047" s="271"/>
      <c r="B1047" s="381" t="s">
        <v>2005</v>
      </c>
      <c r="C1047" s="382" t="s">
        <v>711</v>
      </c>
      <c r="D1047" s="383" t="str">
        <f>COMPOSIÇÕES!B58</f>
        <v xml:space="preserve">SINAPI SP - 08/2023 </v>
      </c>
      <c r="E1047" s="388" t="s">
        <v>758</v>
      </c>
      <c r="F1047" s="382" t="s">
        <v>412</v>
      </c>
      <c r="G1047" s="315">
        <v>150</v>
      </c>
      <c r="H1047" s="287">
        <f>COMPOSIÇÕES!G59+COMPOSIÇÕES!G60+COMPOSIÇÕES!G61</f>
        <v>31.499000000000002</v>
      </c>
      <c r="I1047" s="287">
        <f>COMPOSIÇÕES!$J$58</f>
        <v>37.641304999999996</v>
      </c>
      <c r="J1047" s="384">
        <f t="shared" si="142"/>
        <v>5646.195749999999</v>
      </c>
    </row>
    <row r="1048" spans="1:10" s="150" customFormat="1" ht="28.8">
      <c r="A1048" s="271"/>
      <c r="B1048" s="381" t="s">
        <v>2006</v>
      </c>
      <c r="C1048" s="382" t="s">
        <v>711</v>
      </c>
      <c r="D1048" s="383" t="str">
        <f>COMPOSIÇÕES!B64</f>
        <v>SINAPI SP - 08/2023</v>
      </c>
      <c r="E1048" s="388" t="s">
        <v>697</v>
      </c>
      <c r="F1048" s="382" t="s">
        <v>431</v>
      </c>
      <c r="G1048" s="315">
        <v>20</v>
      </c>
      <c r="H1048" s="287">
        <f>SUM(COMPOSIÇÕES!$G$65:$G$67)</f>
        <v>92.32</v>
      </c>
      <c r="I1048" s="287">
        <f>COMPOSIÇÕES!$J$64</f>
        <v>110.32240000000002</v>
      </c>
      <c r="J1048" s="384">
        <f>I1048*G1048</f>
        <v>2206.4480000000003</v>
      </c>
    </row>
    <row r="1049" spans="1:10" s="150" customFormat="1" ht="28.8">
      <c r="A1049" s="271"/>
      <c r="B1049" s="381" t="s">
        <v>2007</v>
      </c>
      <c r="C1049" s="383" t="str">
        <f>COMPOSIÇÕES!A68</f>
        <v>COMPOSIÇÃO</v>
      </c>
      <c r="D1049" s="383" t="str">
        <f>COMPOSIÇÕES!B68</f>
        <v xml:space="preserve">SINAPI SP - 08/2023 </v>
      </c>
      <c r="E1049" s="388" t="s">
        <v>762</v>
      </c>
      <c r="F1049" s="382" t="s">
        <v>415</v>
      </c>
      <c r="G1049" s="315">
        <v>8</v>
      </c>
      <c r="H1049" s="287">
        <f>COMPOSIÇÕES!G69+COMPOSIÇÕES!G70</f>
        <v>58.91</v>
      </c>
      <c r="I1049" s="287">
        <f>COMPOSIÇÕES!$J$68</f>
        <v>70.397449999999992</v>
      </c>
      <c r="J1049" s="384">
        <f>I1049*G1049</f>
        <v>563.17959999999994</v>
      </c>
    </row>
    <row r="1050" spans="1:10" s="150" customFormat="1" ht="28.8">
      <c r="A1050" s="271"/>
      <c r="B1050" s="381" t="s">
        <v>2008</v>
      </c>
      <c r="C1050" s="273">
        <f>COMPOSIÇÕES!A71</f>
        <v>95241</v>
      </c>
      <c r="D1050" s="273" t="str">
        <f>COMPOSIÇÕES!B71</f>
        <v xml:space="preserve">SINAPI SP - 08/2023 </v>
      </c>
      <c r="E1050" s="400" t="s">
        <v>761</v>
      </c>
      <c r="F1050" s="273" t="s">
        <v>541</v>
      </c>
      <c r="G1050" s="316">
        <v>2</v>
      </c>
      <c r="H1050" s="287">
        <f>SUM(COMPOSIÇÕES!$G$72:$G$72)</f>
        <v>28.8</v>
      </c>
      <c r="I1050" s="287">
        <f>COMPOSIÇÕES!$J$71</f>
        <v>34.416000000000004</v>
      </c>
      <c r="J1050" s="384">
        <f>I1050*G1050</f>
        <v>68.832000000000008</v>
      </c>
    </row>
    <row r="1051" spans="1:10" s="150" customFormat="1">
      <c r="A1051" s="271"/>
      <c r="B1051" s="381" t="s">
        <v>2419</v>
      </c>
      <c r="C1051" s="399" t="s">
        <v>759</v>
      </c>
      <c r="D1051" s="273" t="str">
        <f>COMPOSIÇÕES!B73</f>
        <v>FDE - 07/2023</v>
      </c>
      <c r="E1051" s="400" t="s">
        <v>760</v>
      </c>
      <c r="F1051" s="273" t="s">
        <v>701</v>
      </c>
      <c r="G1051" s="316">
        <v>1</v>
      </c>
      <c r="H1051" s="530">
        <f>VLOOKUP(C1051,COMPOSIÇÕES!A:J,6,FALSE)</f>
        <v>38.485355648535567</v>
      </c>
      <c r="I1051" s="287">
        <f>COMPOSIÇÕES!$J$73</f>
        <v>45.99</v>
      </c>
      <c r="J1051" s="384">
        <f>I1051*G1051</f>
        <v>45.99</v>
      </c>
    </row>
    <row r="1052" spans="1:10" s="150" customFormat="1">
      <c r="A1052" s="271"/>
      <c r="B1052" s="381" t="s">
        <v>2451</v>
      </c>
      <c r="C1052" s="399" t="s">
        <v>764</v>
      </c>
      <c r="D1052" s="273" t="str">
        <f>COMPOSIÇÕES!B74</f>
        <v>FDE - 07/2023</v>
      </c>
      <c r="E1052" s="400" t="s">
        <v>765</v>
      </c>
      <c r="F1052" s="273" t="s">
        <v>541</v>
      </c>
      <c r="G1052" s="316">
        <v>3</v>
      </c>
      <c r="H1052" s="530">
        <f>VLOOKUP(C1052,COMPOSIÇÕES!A:J,6,FALSE)</f>
        <v>210.81171548117152</v>
      </c>
      <c r="I1052" s="287">
        <f>COMPOSIÇÕES!$J$74</f>
        <v>251.91999999999996</v>
      </c>
      <c r="J1052" s="384">
        <f>I1052*G1052</f>
        <v>755.75999999999988</v>
      </c>
    </row>
    <row r="1053" spans="1:10" s="263" customFormat="1">
      <c r="B1053" s="579" t="s">
        <v>2042</v>
      </c>
      <c r="C1053" s="580"/>
      <c r="D1053" s="580"/>
      <c r="E1053" s="580"/>
      <c r="F1053" s="580"/>
      <c r="G1053" s="580"/>
      <c r="H1053" s="580"/>
      <c r="I1053" s="581"/>
      <c r="J1053" s="296">
        <f>SUM(J1031:J1052)</f>
        <v>87708.270011756264</v>
      </c>
    </row>
    <row r="1054" spans="1:10" s="263" customFormat="1">
      <c r="B1054" s="237" t="s">
        <v>2009</v>
      </c>
      <c r="C1054" s="238"/>
      <c r="D1054" s="533"/>
      <c r="E1054" s="239" t="s">
        <v>526</v>
      </c>
      <c r="F1054" s="259"/>
      <c r="G1054" s="318"/>
      <c r="H1054" s="300"/>
      <c r="I1054" s="285"/>
      <c r="J1054" s="294"/>
    </row>
    <row r="1055" spans="1:10" s="276" customFormat="1">
      <c r="A1055" s="263"/>
      <c r="B1055" s="381" t="s">
        <v>2010</v>
      </c>
      <c r="C1055" s="382" t="s">
        <v>711</v>
      </c>
      <c r="D1055" s="383" t="str">
        <f>COMPOSIÇÕES!B75</f>
        <v>FDE - 07/2023</v>
      </c>
      <c r="E1055" s="344" t="s">
        <v>745</v>
      </c>
      <c r="F1055" s="382" t="s">
        <v>431</v>
      </c>
      <c r="G1055" s="316">
        <v>73</v>
      </c>
      <c r="H1055" s="290">
        <f>SUM(COMPOSIÇÕES!G76:G78)</f>
        <v>34.013252032520327</v>
      </c>
      <c r="I1055" s="287">
        <f>COMPOSIÇÕES!$J$75</f>
        <v>40.645836178861792</v>
      </c>
      <c r="J1055" s="384">
        <f t="shared" ref="J1055:J1085" si="144">G1055*I1055</f>
        <v>2967.1460410569107</v>
      </c>
    </row>
    <row r="1056" spans="1:10" s="276" customFormat="1" ht="43.2">
      <c r="A1056" s="263"/>
      <c r="B1056" s="381" t="s">
        <v>2011</v>
      </c>
      <c r="C1056" s="382" t="s">
        <v>711</v>
      </c>
      <c r="D1056" s="383" t="str">
        <f>COMPOSIÇÕES!B79</f>
        <v>FDE - 07/2023 + SINAPI SP - 08/2023</v>
      </c>
      <c r="E1056" s="344" t="s">
        <v>742</v>
      </c>
      <c r="F1056" s="382" t="s">
        <v>431</v>
      </c>
      <c r="G1056" s="316">
        <v>6</v>
      </c>
      <c r="H1056" s="290">
        <f>SUM(COMPOSIÇÕES!G80:G82)</f>
        <v>6.9960000000000004</v>
      </c>
      <c r="I1056" s="287">
        <f>COMPOSIÇÕES!$J$79</f>
        <v>8.36022</v>
      </c>
      <c r="J1056" s="384">
        <f t="shared" si="144"/>
        <v>50.161320000000003</v>
      </c>
    </row>
    <row r="1057" spans="1:10" s="276" customFormat="1">
      <c r="A1057" s="263"/>
      <c r="B1057" s="381" t="s">
        <v>2012</v>
      </c>
      <c r="C1057" s="382" t="s">
        <v>739</v>
      </c>
      <c r="D1057" s="383" t="str">
        <f>COMPOSIÇÕES!B83</f>
        <v>FDE - 07/2023</v>
      </c>
      <c r="E1057" s="344" t="s">
        <v>766</v>
      </c>
      <c r="F1057" s="382" t="s">
        <v>431</v>
      </c>
      <c r="G1057" s="316">
        <v>5</v>
      </c>
      <c r="H1057" s="530">
        <f>VLOOKUP(C1057,COMPOSIÇÕES!A:J,6,FALSE)</f>
        <v>32.35146443514644</v>
      </c>
      <c r="I1057" s="287">
        <f>COMPOSIÇÕES!$J$83</f>
        <v>38.659999999999997</v>
      </c>
      <c r="J1057" s="384">
        <f t="shared" si="144"/>
        <v>193.29999999999998</v>
      </c>
    </row>
    <row r="1058" spans="1:10" s="276" customFormat="1">
      <c r="A1058" s="263"/>
      <c r="B1058" s="381" t="s">
        <v>2013</v>
      </c>
      <c r="C1058" s="382" t="s">
        <v>739</v>
      </c>
      <c r="D1058" s="383" t="str">
        <f t="shared" ref="D1058:D1059" si="145">$D$1057</f>
        <v>FDE - 07/2023</v>
      </c>
      <c r="E1058" s="344" t="s">
        <v>767</v>
      </c>
      <c r="F1058" s="382" t="s">
        <v>431</v>
      </c>
      <c r="G1058" s="316">
        <v>33</v>
      </c>
      <c r="H1058" s="530">
        <f>VLOOKUP(C1058,COMPOSIÇÕES!A:J,6,FALSE)</f>
        <v>32.35146443514644</v>
      </c>
      <c r="I1058" s="287">
        <f>COMPOSIÇÕES!$J$83</f>
        <v>38.659999999999997</v>
      </c>
      <c r="J1058" s="384">
        <f t="shared" si="144"/>
        <v>1275.78</v>
      </c>
    </row>
    <row r="1059" spans="1:10" s="276" customFormat="1">
      <c r="A1059" s="263"/>
      <c r="B1059" s="381" t="s">
        <v>2014</v>
      </c>
      <c r="C1059" s="382" t="s">
        <v>739</v>
      </c>
      <c r="D1059" s="383" t="str">
        <f t="shared" si="145"/>
        <v>FDE - 07/2023</v>
      </c>
      <c r="E1059" s="344" t="s">
        <v>768</v>
      </c>
      <c r="F1059" s="382" t="s">
        <v>431</v>
      </c>
      <c r="G1059" s="316">
        <v>12</v>
      </c>
      <c r="H1059" s="530">
        <f>VLOOKUP(C1059,COMPOSIÇÕES!A:J,6,FALSE)</f>
        <v>32.35146443514644</v>
      </c>
      <c r="I1059" s="287">
        <f>COMPOSIÇÕES!$J$83</f>
        <v>38.659999999999997</v>
      </c>
      <c r="J1059" s="384">
        <f t="shared" si="144"/>
        <v>463.91999999999996</v>
      </c>
    </row>
    <row r="1060" spans="1:10" s="276" customFormat="1">
      <c r="A1060" s="263"/>
      <c r="B1060" s="381" t="s">
        <v>2015</v>
      </c>
      <c r="C1060" s="382" t="s">
        <v>738</v>
      </c>
      <c r="D1060" s="383" t="str">
        <f>COMPOSIÇÕES!B84</f>
        <v>FDE - 07/2023</v>
      </c>
      <c r="E1060" s="344" t="s">
        <v>817</v>
      </c>
      <c r="F1060" s="382" t="s">
        <v>431</v>
      </c>
      <c r="G1060" s="316">
        <v>7</v>
      </c>
      <c r="H1060" s="530">
        <f>VLOOKUP(C1060,COMPOSIÇÕES!A:J,6,FALSE)</f>
        <v>37.087866108786606</v>
      </c>
      <c r="I1060" s="287">
        <f>COMPOSIÇÕES!$J$84</f>
        <v>44.319999999999993</v>
      </c>
      <c r="J1060" s="384">
        <f t="shared" si="144"/>
        <v>310.23999999999995</v>
      </c>
    </row>
    <row r="1061" spans="1:10" s="276" customFormat="1">
      <c r="A1061" s="263"/>
      <c r="B1061" s="381" t="s">
        <v>2016</v>
      </c>
      <c r="C1061" s="382" t="s">
        <v>738</v>
      </c>
      <c r="D1061" s="383" t="str">
        <f>COMPOSIÇÕES!B84</f>
        <v>FDE - 07/2023</v>
      </c>
      <c r="E1061" s="344" t="s">
        <v>769</v>
      </c>
      <c r="F1061" s="382" t="s">
        <v>431</v>
      </c>
      <c r="G1061" s="316">
        <v>3</v>
      </c>
      <c r="H1061" s="530">
        <f>VLOOKUP(C1061,COMPOSIÇÕES!A:J,6,FALSE)</f>
        <v>37.087866108786606</v>
      </c>
      <c r="I1061" s="287">
        <f>COMPOSIÇÕES!$J$84</f>
        <v>44.319999999999993</v>
      </c>
      <c r="J1061" s="384">
        <f t="shared" si="144"/>
        <v>132.95999999999998</v>
      </c>
    </row>
    <row r="1062" spans="1:10" s="276" customFormat="1">
      <c r="A1062" s="263"/>
      <c r="B1062" s="381" t="s">
        <v>2017</v>
      </c>
      <c r="C1062" s="382" t="s">
        <v>824</v>
      </c>
      <c r="D1062" s="383" t="str">
        <f>COMPOSIÇÕES!B232</f>
        <v>FDE - 07/2023</v>
      </c>
      <c r="E1062" s="344" t="s">
        <v>830</v>
      </c>
      <c r="F1062" s="382" t="s">
        <v>431</v>
      </c>
      <c r="G1062" s="316">
        <v>1</v>
      </c>
      <c r="H1062" s="530">
        <f>VLOOKUP(C1062,COMPOSIÇÕES!A:J,6,FALSE)</f>
        <v>95.397489539748946</v>
      </c>
      <c r="I1062" s="287">
        <f>COMPOSIÇÕES!$J$232</f>
        <v>114</v>
      </c>
      <c r="J1062" s="384">
        <f t="shared" si="144"/>
        <v>114</v>
      </c>
    </row>
    <row r="1063" spans="1:10" s="276" customFormat="1" ht="43.2">
      <c r="A1063" s="263"/>
      <c r="B1063" s="381" t="s">
        <v>2018</v>
      </c>
      <c r="C1063" s="382" t="s">
        <v>711</v>
      </c>
      <c r="D1063" s="383" t="str">
        <f>COMPOSIÇÕES!B233</f>
        <v>SINAPI SP - 08/2023</v>
      </c>
      <c r="E1063" s="344" t="s">
        <v>831</v>
      </c>
      <c r="F1063" s="382" t="s">
        <v>431</v>
      </c>
      <c r="G1063" s="316">
        <v>2</v>
      </c>
      <c r="H1063" s="290">
        <f>COMPOSIÇÕES!G234+COMPOSIÇÕES!G235+COMPOSIÇÕES!G236</f>
        <v>42.53</v>
      </c>
      <c r="I1063" s="287">
        <f>COMPOSIÇÕES!$J$233</f>
        <v>50.823350000000005</v>
      </c>
      <c r="J1063" s="384">
        <f t="shared" si="144"/>
        <v>101.64670000000001</v>
      </c>
    </row>
    <row r="1064" spans="1:10" s="276" customFormat="1" ht="43.2">
      <c r="A1064" s="263"/>
      <c r="B1064" s="381" t="s">
        <v>2019</v>
      </c>
      <c r="C1064" s="382" t="s">
        <v>735</v>
      </c>
      <c r="D1064" s="383" t="str">
        <f>COMPOSIÇÕES!B85</f>
        <v>FDE - 07/2023 + SINAPI SP - 08/2023</v>
      </c>
      <c r="E1064" s="344" t="s">
        <v>736</v>
      </c>
      <c r="F1064" s="382" t="s">
        <v>431</v>
      </c>
      <c r="G1064" s="316">
        <v>112</v>
      </c>
      <c r="H1064" s="530">
        <f>VLOOKUP(C1064,COMPOSIÇÕES!A:J,6,FALSE)</f>
        <v>7.8158995815899575</v>
      </c>
      <c r="I1064" s="287">
        <f>COMPOSIÇÕES!$J$89</f>
        <v>9.34</v>
      </c>
      <c r="J1064" s="384">
        <f t="shared" si="144"/>
        <v>1046.08</v>
      </c>
    </row>
    <row r="1065" spans="1:10" s="276" customFormat="1" ht="28.8">
      <c r="A1065" s="263"/>
      <c r="B1065" s="381" t="s">
        <v>2020</v>
      </c>
      <c r="C1065" s="383" t="str">
        <f>COMPOSIÇÕES!A91</f>
        <v>38.21.920</v>
      </c>
      <c r="D1065" s="383" t="str">
        <f>COMPOSIÇÕES!B91</f>
        <v>CDHU - BOLETIM 191</v>
      </c>
      <c r="E1065" s="388" t="str">
        <f>COMPOSIÇÕES!C91</f>
        <v>Eletrocalha perfurada galvanizada a fogo, 100 x 50 mm, com acessórios</v>
      </c>
      <c r="F1065" s="382" t="s">
        <v>431</v>
      </c>
      <c r="G1065" s="316">
        <f>24*3</f>
        <v>72</v>
      </c>
      <c r="H1065" s="530">
        <f>VLOOKUP(C1065,COMPOSIÇÕES!A:J,6,FALSE)</f>
        <v>98.38</v>
      </c>
      <c r="I1065" s="287">
        <f>COMPOSIÇÕES!$J$91</f>
        <v>117.5641</v>
      </c>
      <c r="J1065" s="384">
        <f t="shared" si="144"/>
        <v>8464.6152000000002</v>
      </c>
    </row>
    <row r="1066" spans="1:10" s="276" customFormat="1" ht="28.8">
      <c r="A1066" s="263"/>
      <c r="B1066" s="381" t="s">
        <v>2021</v>
      </c>
      <c r="C1066" s="383" t="str">
        <f>COMPOSIÇÕES!A92</f>
        <v>38.06.040</v>
      </c>
      <c r="D1066" s="383" t="str">
        <f>COMPOSIÇÕES!B92</f>
        <v>CDHU - BOLETIM 191</v>
      </c>
      <c r="E1066" s="388" t="str">
        <f>COMPOSIÇÕES!C92</f>
        <v>Eletroduto galvanizado a quente conforme NBR5598 ‐ 3/4´ com acessórios</v>
      </c>
      <c r="F1066" s="382" t="s">
        <v>412</v>
      </c>
      <c r="G1066" s="316">
        <f>31*3</f>
        <v>93</v>
      </c>
      <c r="H1066" s="530">
        <f>VLOOKUP(C1066,COMPOSIÇÕES!A:J,6,FALSE)</f>
        <v>60.65</v>
      </c>
      <c r="I1066" s="287">
        <f>COMPOSIÇÕES!$J$92</f>
        <v>72.476749999999996</v>
      </c>
      <c r="J1066" s="384">
        <f t="shared" si="144"/>
        <v>6740.3377499999997</v>
      </c>
    </row>
    <row r="1067" spans="1:10" s="276" customFormat="1" ht="28.8">
      <c r="A1067" s="263"/>
      <c r="B1067" s="381" t="s">
        <v>2022</v>
      </c>
      <c r="C1067" s="383" t="str">
        <f>COMPOSIÇÕES!A93</f>
        <v>38.06.060</v>
      </c>
      <c r="D1067" s="383" t="str">
        <f>COMPOSIÇÕES!B93</f>
        <v>CDHU - BOLETIM 191</v>
      </c>
      <c r="E1067" s="388" t="str">
        <f>COMPOSIÇÕES!C93</f>
        <v>Eletroduto galvanizado a quente conforme NBR5598 ‐ 1´ com acessórios</v>
      </c>
      <c r="F1067" s="382" t="s">
        <v>412</v>
      </c>
      <c r="G1067" s="316">
        <f>9*3</f>
        <v>27</v>
      </c>
      <c r="H1067" s="530">
        <f>VLOOKUP(C1067,COMPOSIÇÕES!A:J,6,FALSE)</f>
        <v>75.38</v>
      </c>
      <c r="I1067" s="287">
        <f>COMPOSIÇÕES!$J$93</f>
        <v>90.079099999999997</v>
      </c>
      <c r="J1067" s="384">
        <f t="shared" si="144"/>
        <v>2432.1356999999998</v>
      </c>
    </row>
    <row r="1068" spans="1:10" s="276" customFormat="1" ht="28.8">
      <c r="A1068" s="263"/>
      <c r="B1068" s="381" t="s">
        <v>2023</v>
      </c>
      <c r="C1068" s="383" t="str">
        <f>COMPOSIÇÕES!A191</f>
        <v>38.06.120</v>
      </c>
      <c r="D1068" s="383" t="str">
        <f>COMPOSIÇÕES!B191</f>
        <v>CDHU - BOLETIM 191</v>
      </c>
      <c r="E1068" s="388" t="str">
        <f>COMPOSIÇÕES!C191</f>
        <v>Eletroduto galvanizado a quente conforme NBR5598 ‐ 2´ com acessórios</v>
      </c>
      <c r="F1068" s="382" t="s">
        <v>431</v>
      </c>
      <c r="G1068" s="316">
        <f>7*3</f>
        <v>21</v>
      </c>
      <c r="H1068" s="530">
        <f>VLOOKUP(C1068,COMPOSIÇÕES!A:J,6,FALSE)</f>
        <v>128.12</v>
      </c>
      <c r="I1068" s="287">
        <f>COMPOSIÇÕES!$J$191</f>
        <v>153.10340000000002</v>
      </c>
      <c r="J1068" s="384">
        <f t="shared" si="144"/>
        <v>3215.1714000000006</v>
      </c>
    </row>
    <row r="1069" spans="1:10" s="276" customFormat="1">
      <c r="A1069" s="263"/>
      <c r="B1069" s="381" t="s">
        <v>2024</v>
      </c>
      <c r="C1069" s="382" t="s">
        <v>729</v>
      </c>
      <c r="D1069" s="383" t="str">
        <f>COMPOSIÇÕES!B95</f>
        <v>FDE - 07/2023</v>
      </c>
      <c r="E1069" s="485" t="str">
        <f>COMPOSIÇÕES!C95</f>
        <v>PERFILADO EM CHAPA DE ACO 38X38MM</v>
      </c>
      <c r="F1069" s="382" t="s">
        <v>412</v>
      </c>
      <c r="G1069" s="316">
        <v>1</v>
      </c>
      <c r="H1069" s="530">
        <f>VLOOKUP(C1069,COMPOSIÇÕES!A:J,6,FALSE)</f>
        <v>50.77</v>
      </c>
      <c r="I1069" s="287">
        <f>COMPOSIÇÕES!$J$95</f>
        <v>60.670150000000007</v>
      </c>
      <c r="J1069" s="384">
        <f t="shared" si="144"/>
        <v>60.670150000000007</v>
      </c>
    </row>
    <row r="1070" spans="1:10" s="276" customFormat="1" ht="28.8">
      <c r="A1070" s="263"/>
      <c r="B1070" s="381" t="s">
        <v>2025</v>
      </c>
      <c r="C1070" s="382">
        <v>91927</v>
      </c>
      <c r="D1070" s="383" t="str">
        <f>COMPOSIÇÕES!B96</f>
        <v>SINAPI SP - 08/2023</v>
      </c>
      <c r="E1070" s="344" t="s">
        <v>770</v>
      </c>
      <c r="F1070" s="382" t="s">
        <v>412</v>
      </c>
      <c r="G1070" s="316">
        <v>525</v>
      </c>
      <c r="H1070" s="530">
        <f>VLOOKUP(C1070,COMPOSIÇÕES!A:J,6,FALSE)</f>
        <v>4.8</v>
      </c>
      <c r="I1070" s="287">
        <f>COMPOSIÇÕES!$J$96</f>
        <v>5.7359999999999998</v>
      </c>
      <c r="J1070" s="384">
        <f t="shared" si="144"/>
        <v>3011.4</v>
      </c>
    </row>
    <row r="1071" spans="1:10" s="276" customFormat="1" ht="28.8">
      <c r="A1071" s="263"/>
      <c r="B1071" s="381" t="s">
        <v>2026</v>
      </c>
      <c r="C1071" s="382">
        <v>91927</v>
      </c>
      <c r="D1071" s="383" t="str">
        <f t="shared" ref="D1071:D1073" si="146">$D$1070</f>
        <v>SINAPI SP - 08/2023</v>
      </c>
      <c r="E1071" s="344" t="s">
        <v>771</v>
      </c>
      <c r="F1071" s="382" t="s">
        <v>412</v>
      </c>
      <c r="G1071" s="316">
        <v>550</v>
      </c>
      <c r="H1071" s="530">
        <f>VLOOKUP(C1071,COMPOSIÇÕES!A:J,6,FALSE)</f>
        <v>4.8</v>
      </c>
      <c r="I1071" s="287">
        <f>COMPOSIÇÕES!$J$96</f>
        <v>5.7359999999999998</v>
      </c>
      <c r="J1071" s="384">
        <f t="shared" si="144"/>
        <v>3154.7999999999997</v>
      </c>
    </row>
    <row r="1072" spans="1:10" s="276" customFormat="1" ht="28.8">
      <c r="A1072" s="263"/>
      <c r="B1072" s="381" t="s">
        <v>2027</v>
      </c>
      <c r="C1072" s="382">
        <v>91927</v>
      </c>
      <c r="D1072" s="383" t="str">
        <f t="shared" si="146"/>
        <v>SINAPI SP - 08/2023</v>
      </c>
      <c r="E1072" s="344" t="s">
        <v>772</v>
      </c>
      <c r="F1072" s="382" t="s">
        <v>412</v>
      </c>
      <c r="G1072" s="316">
        <v>525</v>
      </c>
      <c r="H1072" s="530">
        <f>VLOOKUP(C1072,COMPOSIÇÕES!A:J,6,FALSE)</f>
        <v>4.8</v>
      </c>
      <c r="I1072" s="287">
        <f>COMPOSIÇÕES!$J$96</f>
        <v>5.7359999999999998</v>
      </c>
      <c r="J1072" s="384">
        <f t="shared" si="144"/>
        <v>3011.4</v>
      </c>
    </row>
    <row r="1073" spans="1:10" s="276" customFormat="1" ht="28.8">
      <c r="A1073" s="263"/>
      <c r="B1073" s="381" t="s">
        <v>2028</v>
      </c>
      <c r="C1073" s="382">
        <v>91927</v>
      </c>
      <c r="D1073" s="383" t="str">
        <f t="shared" si="146"/>
        <v>SINAPI SP - 08/2023</v>
      </c>
      <c r="E1073" s="344" t="s">
        <v>773</v>
      </c>
      <c r="F1073" s="382" t="s">
        <v>412</v>
      </c>
      <c r="G1073" s="316">
        <v>200</v>
      </c>
      <c r="H1073" s="530">
        <f>VLOOKUP(C1073,COMPOSIÇÕES!A:J,6,FALSE)</f>
        <v>4.8</v>
      </c>
      <c r="I1073" s="287">
        <f>COMPOSIÇÕES!$J$96</f>
        <v>5.7359999999999998</v>
      </c>
      <c r="J1073" s="384">
        <f t="shared" si="144"/>
        <v>1147.2</v>
      </c>
    </row>
    <row r="1074" spans="1:10" s="276" customFormat="1" ht="28.8">
      <c r="A1074" s="263"/>
      <c r="B1074" s="381" t="s">
        <v>2029</v>
      </c>
      <c r="C1074" s="382">
        <v>91929</v>
      </c>
      <c r="D1074" s="383" t="str">
        <f>COMPOSIÇÕES!B97</f>
        <v>SINAPI SP - 08/2023</v>
      </c>
      <c r="E1074" s="344" t="s">
        <v>774</v>
      </c>
      <c r="F1074" s="382" t="s">
        <v>412</v>
      </c>
      <c r="G1074" s="316">
        <v>50</v>
      </c>
      <c r="H1074" s="530">
        <f>VLOOKUP(C1074,COMPOSIÇÕES!A:J,6,FALSE)</f>
        <v>6.92</v>
      </c>
      <c r="I1074" s="287">
        <f>COMPOSIÇÕES!$J$97</f>
        <v>8.2693999999999992</v>
      </c>
      <c r="J1074" s="384">
        <f t="shared" si="144"/>
        <v>413.46999999999997</v>
      </c>
    </row>
    <row r="1075" spans="1:10" s="276" customFormat="1" ht="28.8">
      <c r="A1075" s="263"/>
      <c r="B1075" s="381" t="s">
        <v>2030</v>
      </c>
      <c r="C1075" s="382">
        <v>91929</v>
      </c>
      <c r="D1075" s="383" t="str">
        <f t="shared" ref="D1075:D1077" si="147">$D$1074</f>
        <v>SINAPI SP - 08/2023</v>
      </c>
      <c r="E1075" s="344" t="s">
        <v>775</v>
      </c>
      <c r="F1075" s="382" t="s">
        <v>412</v>
      </c>
      <c r="G1075" s="316">
        <v>50</v>
      </c>
      <c r="H1075" s="530">
        <f>VLOOKUP(C1075,COMPOSIÇÕES!A:J,6,FALSE)</f>
        <v>6.92</v>
      </c>
      <c r="I1075" s="287">
        <f>COMPOSIÇÕES!$J$97</f>
        <v>8.2693999999999992</v>
      </c>
      <c r="J1075" s="384">
        <f t="shared" si="144"/>
        <v>413.46999999999997</v>
      </c>
    </row>
    <row r="1076" spans="1:10" s="276" customFormat="1" ht="28.8">
      <c r="A1076" s="263"/>
      <c r="B1076" s="381" t="s">
        <v>2031</v>
      </c>
      <c r="C1076" s="382">
        <v>91929</v>
      </c>
      <c r="D1076" s="383" t="str">
        <f t="shared" si="147"/>
        <v>SINAPI SP - 08/2023</v>
      </c>
      <c r="E1076" s="344" t="s">
        <v>835</v>
      </c>
      <c r="F1076" s="382" t="s">
        <v>412</v>
      </c>
      <c r="G1076" s="316">
        <v>50</v>
      </c>
      <c r="H1076" s="530">
        <f>VLOOKUP(C1076,COMPOSIÇÕES!A:J,6,FALSE)</f>
        <v>6.92</v>
      </c>
      <c r="I1076" s="287">
        <f>COMPOSIÇÕES!$J$97</f>
        <v>8.2693999999999992</v>
      </c>
      <c r="J1076" s="384">
        <f t="shared" si="144"/>
        <v>413.46999999999997</v>
      </c>
    </row>
    <row r="1077" spans="1:10" s="276" customFormat="1" ht="28.8">
      <c r="A1077" s="263"/>
      <c r="B1077" s="381" t="s">
        <v>2032</v>
      </c>
      <c r="C1077" s="382">
        <v>91929</v>
      </c>
      <c r="D1077" s="383" t="str">
        <f t="shared" si="147"/>
        <v>SINAPI SP - 08/2023</v>
      </c>
      <c r="E1077" s="344" t="s">
        <v>776</v>
      </c>
      <c r="F1077" s="382" t="s">
        <v>412</v>
      </c>
      <c r="G1077" s="316">
        <v>150</v>
      </c>
      <c r="H1077" s="530">
        <f>VLOOKUP(C1077,COMPOSIÇÕES!A:J,6,FALSE)</f>
        <v>6.92</v>
      </c>
      <c r="I1077" s="287">
        <f>COMPOSIÇÕES!$J$97</f>
        <v>8.2693999999999992</v>
      </c>
      <c r="J1077" s="384">
        <f t="shared" si="144"/>
        <v>1240.4099999999999</v>
      </c>
    </row>
    <row r="1078" spans="1:10" s="276" customFormat="1" ht="28.8">
      <c r="A1078" s="263"/>
      <c r="B1078" s="381" t="s">
        <v>2033</v>
      </c>
      <c r="C1078" s="382">
        <v>92984</v>
      </c>
      <c r="D1078" s="383" t="str">
        <f>COMPOSIÇÕES!B98</f>
        <v>SINAPI SP - 08/2023</v>
      </c>
      <c r="E1078" s="344" t="s">
        <v>777</v>
      </c>
      <c r="F1078" s="382" t="s">
        <v>412</v>
      </c>
      <c r="G1078" s="316">
        <v>30</v>
      </c>
      <c r="H1078" s="530">
        <f>VLOOKUP(C1078,COMPOSIÇÕES!A:J,6,FALSE)</f>
        <v>23.65</v>
      </c>
      <c r="I1078" s="287">
        <f>COMPOSIÇÕES!$J$98</f>
        <v>28.261749999999999</v>
      </c>
      <c r="J1078" s="384">
        <f t="shared" si="144"/>
        <v>847.85249999999996</v>
      </c>
    </row>
    <row r="1079" spans="1:10" s="276" customFormat="1" ht="28.8">
      <c r="A1079" s="263"/>
      <c r="B1079" s="381" t="s">
        <v>2034</v>
      </c>
      <c r="C1079" s="382">
        <v>92988</v>
      </c>
      <c r="D1079" s="383" t="str">
        <f>COMPOSIÇÕES!B99</f>
        <v>SINAPI SP - 08/2023</v>
      </c>
      <c r="E1079" s="344" t="s">
        <v>778</v>
      </c>
      <c r="F1079" s="382" t="s">
        <v>412</v>
      </c>
      <c r="G1079" s="316">
        <v>30</v>
      </c>
      <c r="H1079" s="530">
        <f>VLOOKUP(C1079,COMPOSIÇÕES!A:J,6,FALSE)</f>
        <v>46.05</v>
      </c>
      <c r="I1079" s="287">
        <f>COMPOSIÇÕES!$J$99</f>
        <v>55.029749999999993</v>
      </c>
      <c r="J1079" s="384">
        <f t="shared" si="144"/>
        <v>1650.8924999999997</v>
      </c>
    </row>
    <row r="1080" spans="1:10" s="276" customFormat="1" ht="28.8">
      <c r="A1080" s="263"/>
      <c r="B1080" s="381" t="s">
        <v>2035</v>
      </c>
      <c r="C1080" s="382">
        <v>92988</v>
      </c>
      <c r="D1080" s="383" t="str">
        <f t="shared" ref="D1080:D1082" si="148">$D$1079</f>
        <v>SINAPI SP - 08/2023</v>
      </c>
      <c r="E1080" s="344" t="s">
        <v>779</v>
      </c>
      <c r="F1080" s="382" t="s">
        <v>412</v>
      </c>
      <c r="G1080" s="316">
        <v>30</v>
      </c>
      <c r="H1080" s="530">
        <f>VLOOKUP(C1080,COMPOSIÇÕES!A:J,6,FALSE)</f>
        <v>46.05</v>
      </c>
      <c r="I1080" s="287">
        <f>COMPOSIÇÕES!$J$99</f>
        <v>55.029749999999993</v>
      </c>
      <c r="J1080" s="384">
        <f t="shared" si="144"/>
        <v>1650.8924999999997</v>
      </c>
    </row>
    <row r="1081" spans="1:10" s="276" customFormat="1" ht="28.8">
      <c r="A1081" s="263"/>
      <c r="B1081" s="381" t="s">
        <v>2036</v>
      </c>
      <c r="C1081" s="382">
        <v>92988</v>
      </c>
      <c r="D1081" s="383" t="str">
        <f t="shared" si="148"/>
        <v>SINAPI SP - 08/2023</v>
      </c>
      <c r="E1081" s="344" t="s">
        <v>780</v>
      </c>
      <c r="F1081" s="382" t="s">
        <v>412</v>
      </c>
      <c r="G1081" s="316">
        <v>30</v>
      </c>
      <c r="H1081" s="530">
        <f>VLOOKUP(C1081,COMPOSIÇÕES!A:J,6,FALSE)</f>
        <v>46.05</v>
      </c>
      <c r="I1081" s="287">
        <f>COMPOSIÇÕES!$J$99</f>
        <v>55.029749999999993</v>
      </c>
      <c r="J1081" s="384">
        <f t="shared" si="144"/>
        <v>1650.8924999999997</v>
      </c>
    </row>
    <row r="1082" spans="1:10" s="276" customFormat="1" ht="28.8">
      <c r="A1082" s="263"/>
      <c r="B1082" s="381" t="s">
        <v>2037</v>
      </c>
      <c r="C1082" s="382">
        <v>92988</v>
      </c>
      <c r="D1082" s="383" t="str">
        <f t="shared" si="148"/>
        <v>SINAPI SP - 08/2023</v>
      </c>
      <c r="E1082" s="344" t="s">
        <v>847</v>
      </c>
      <c r="F1082" s="382" t="s">
        <v>412</v>
      </c>
      <c r="G1082" s="316">
        <v>30</v>
      </c>
      <c r="H1082" s="530">
        <f>VLOOKUP(C1082,COMPOSIÇÕES!A:J,6,FALSE)</f>
        <v>46.05</v>
      </c>
      <c r="I1082" s="287">
        <f>COMPOSIÇÕES!$J$99</f>
        <v>55.029749999999993</v>
      </c>
      <c r="J1082" s="384">
        <f t="shared" si="144"/>
        <v>1650.8924999999997</v>
      </c>
    </row>
    <row r="1083" spans="1:10" s="276" customFormat="1">
      <c r="A1083" s="263"/>
      <c r="B1083" s="381" t="s">
        <v>2038</v>
      </c>
      <c r="C1083" s="382" t="s">
        <v>711</v>
      </c>
      <c r="D1083" s="383" t="str">
        <f>COMPOSIÇÕES!B103</f>
        <v>FDE - 07/2023</v>
      </c>
      <c r="E1083" s="344" t="s">
        <v>732</v>
      </c>
      <c r="F1083" s="382" t="s">
        <v>431</v>
      </c>
      <c r="G1083" s="316">
        <v>8</v>
      </c>
      <c r="H1083" s="530">
        <f>COMPOSIÇÕES!F103</f>
        <v>22.98</v>
      </c>
      <c r="I1083" s="287">
        <f>COMPOSIÇÕES!$J$103</f>
        <v>27.461100000000002</v>
      </c>
      <c r="J1083" s="384">
        <f t="shared" si="144"/>
        <v>219.68880000000001</v>
      </c>
    </row>
    <row r="1084" spans="1:10" s="276" customFormat="1">
      <c r="A1084" s="263"/>
      <c r="B1084" s="381" t="s">
        <v>2039</v>
      </c>
      <c r="C1084" s="382" t="s">
        <v>711</v>
      </c>
      <c r="D1084" s="383" t="str">
        <f>COMPOSIÇÕES!B104</f>
        <v>FDE - 07/2023</v>
      </c>
      <c r="E1084" s="344" t="s">
        <v>731</v>
      </c>
      <c r="F1084" s="382" t="s">
        <v>431</v>
      </c>
      <c r="G1084" s="316">
        <v>24</v>
      </c>
      <c r="H1084" s="530">
        <f>COMPOSIÇÕES!F104</f>
        <v>34.06</v>
      </c>
      <c r="I1084" s="287">
        <f>COMPOSIÇÕES!$J$104</f>
        <v>40.701700000000002</v>
      </c>
      <c r="J1084" s="384">
        <f t="shared" si="144"/>
        <v>976.84080000000006</v>
      </c>
    </row>
    <row r="1085" spans="1:10" s="263" customFormat="1" ht="72">
      <c r="B1085" s="381" t="s">
        <v>2040</v>
      </c>
      <c r="C1085" s="275" t="s">
        <v>711</v>
      </c>
      <c r="D1085" s="277" t="str">
        <f>COMPOSIÇÕES!B285</f>
        <v>CDHU - BOLETIM 191 + FDE - 07/2023 + SINAPI SP - 08/2023</v>
      </c>
      <c r="E1085" s="278" t="s">
        <v>1014</v>
      </c>
      <c r="F1085" s="275" t="s">
        <v>530</v>
      </c>
      <c r="G1085" s="313">
        <v>1</v>
      </c>
      <c r="H1085" s="301">
        <f>SUM(COMPOSIÇÕES!G286:G292)</f>
        <v>10477.062801673641</v>
      </c>
      <c r="I1085" s="286">
        <f>COMPOSIÇÕES!$J$285</f>
        <v>12520.090048</v>
      </c>
      <c r="J1085" s="295">
        <f t="shared" si="144"/>
        <v>12520.090048</v>
      </c>
    </row>
    <row r="1086" spans="1:10" s="263" customFormat="1">
      <c r="B1086" s="579" t="s">
        <v>2043</v>
      </c>
      <c r="C1086" s="580"/>
      <c r="D1086" s="580"/>
      <c r="E1086" s="580"/>
      <c r="F1086" s="580"/>
      <c r="G1086" s="580"/>
      <c r="H1086" s="580"/>
      <c r="I1086" s="581"/>
      <c r="J1086" s="296">
        <f>SUM(J1055:J1085)</f>
        <v>61541.826409056928</v>
      </c>
    </row>
    <row r="1087" spans="1:10" s="263" customFormat="1">
      <c r="B1087" s="237">
        <v>17</v>
      </c>
      <c r="C1087" s="238"/>
      <c r="D1087" s="533"/>
      <c r="E1087" s="239" t="s">
        <v>650</v>
      </c>
      <c r="F1087" s="238"/>
      <c r="G1087" s="312"/>
      <c r="H1087" s="300"/>
      <c r="I1087" s="285"/>
      <c r="J1087" s="294"/>
    </row>
    <row r="1088" spans="1:10" s="276" customFormat="1">
      <c r="A1088" s="263"/>
      <c r="B1088" s="381" t="s">
        <v>671</v>
      </c>
      <c r="C1088" s="382" t="s">
        <v>708</v>
      </c>
      <c r="D1088" s="383" t="str">
        <f>COMPOSIÇÕES!B115</f>
        <v>FDE - 07/2023</v>
      </c>
      <c r="E1088" s="344" t="s">
        <v>651</v>
      </c>
      <c r="F1088" s="382" t="s">
        <v>541</v>
      </c>
      <c r="G1088" s="316">
        <v>100</v>
      </c>
      <c r="H1088" s="290">
        <f>COMPOSIÇÕES!$G$116</f>
        <v>5.116260162601626</v>
      </c>
      <c r="I1088" s="287">
        <f>COMPOSIÇÕES!$J$115</f>
        <v>6.1139308943089432</v>
      </c>
      <c r="J1088" s="384">
        <f>G1088*I1088</f>
        <v>611.39308943089429</v>
      </c>
    </row>
    <row r="1089" spans="1:10" s="263" customFormat="1">
      <c r="B1089" s="579" t="s">
        <v>2044</v>
      </c>
      <c r="C1089" s="580"/>
      <c r="D1089" s="580"/>
      <c r="E1089" s="580"/>
      <c r="F1089" s="580"/>
      <c r="G1089" s="580"/>
      <c r="H1089" s="580"/>
      <c r="I1089" s="581"/>
      <c r="J1089" s="296">
        <f>J1088</f>
        <v>611.39308943089429</v>
      </c>
    </row>
    <row r="1090" spans="1:10" s="263" customFormat="1" ht="25.5" customHeight="1" thickBot="1">
      <c r="B1090" s="564" t="s">
        <v>672</v>
      </c>
      <c r="C1090" s="565"/>
      <c r="D1090" s="565"/>
      <c r="E1090" s="565"/>
      <c r="F1090" s="565"/>
      <c r="G1090" s="565"/>
      <c r="H1090" s="565"/>
      <c r="I1090" s="566"/>
      <c r="J1090" s="297">
        <f>J1029+J1053+J1086+J1089</f>
        <v>152393.72856774411</v>
      </c>
    </row>
    <row r="1091" spans="1:10" s="263" customFormat="1">
      <c r="B1091" s="264" t="s">
        <v>509</v>
      </c>
      <c r="C1091" s="265"/>
      <c r="D1091" s="534"/>
      <c r="E1091" s="266" t="s">
        <v>536</v>
      </c>
      <c r="F1091" s="265"/>
      <c r="G1091" s="310"/>
      <c r="H1091" s="298"/>
      <c r="I1091" s="283"/>
      <c r="J1091" s="292"/>
    </row>
    <row r="1092" spans="1:10" s="263" customFormat="1" ht="6" customHeight="1">
      <c r="B1092" s="234"/>
      <c r="C1092" s="235"/>
      <c r="D1092" s="532"/>
      <c r="E1092" s="236"/>
      <c r="F1092" s="235"/>
      <c r="G1092" s="311"/>
      <c r="H1092" s="299"/>
      <c r="I1092" s="284"/>
      <c r="J1092" s="293"/>
    </row>
    <row r="1093" spans="1:10" s="263" customFormat="1">
      <c r="B1093" s="237" t="s">
        <v>510</v>
      </c>
      <c r="C1093" s="238"/>
      <c r="D1093" s="533"/>
      <c r="E1093" s="239" t="s">
        <v>483</v>
      </c>
      <c r="F1093" s="238"/>
      <c r="G1093" s="312"/>
      <c r="H1093" s="300"/>
      <c r="I1093" s="285"/>
      <c r="J1093" s="294"/>
    </row>
    <row r="1094" spans="1:10" s="150" customFormat="1">
      <c r="B1094" s="381" t="s">
        <v>511</v>
      </c>
      <c r="C1094" s="382" t="str">
        <f t="shared" ref="C1094:I1095" si="149">C1027</f>
        <v>16.06.076</v>
      </c>
      <c r="D1094" s="383" t="str">
        <f t="shared" si="149"/>
        <v>FDE - 07/2023</v>
      </c>
      <c r="E1094" s="344" t="str">
        <f t="shared" si="149"/>
        <v>FORNECIMENTO E INSTALAÇAO DE PLACAS DE OBRA</v>
      </c>
      <c r="F1094" s="382" t="str">
        <f t="shared" si="149"/>
        <v>M²</v>
      </c>
      <c r="G1094" s="316">
        <f t="shared" si="149"/>
        <v>5</v>
      </c>
      <c r="H1094" s="290">
        <f t="shared" si="149"/>
        <v>407.8057</v>
      </c>
      <c r="I1094" s="287">
        <f t="shared" si="149"/>
        <v>487.3278115</v>
      </c>
      <c r="J1094" s="384">
        <f>G1094*I1094</f>
        <v>2436.6390575</v>
      </c>
    </row>
    <row r="1095" spans="1:10" s="150" customFormat="1" ht="28.8">
      <c r="B1095" s="381" t="s">
        <v>801</v>
      </c>
      <c r="C1095" s="382">
        <f t="shared" si="149"/>
        <v>37524</v>
      </c>
      <c r="D1095" s="383" t="str">
        <f t="shared" si="149"/>
        <v>SINAPI SP - 08/2023</v>
      </c>
      <c r="E1095" s="344" t="str">
        <f t="shared" si="149"/>
        <v>TELA PLASTICA LARANJA, TIPO TAPUME PARA SINALIZACAO, MALHA RETANGULAR, ROLO 1.20 X 50 M (L X C)</v>
      </c>
      <c r="F1095" s="382" t="str">
        <f t="shared" si="149"/>
        <v>M²</v>
      </c>
      <c r="G1095" s="316">
        <f t="shared" si="149"/>
        <v>40</v>
      </c>
      <c r="H1095" s="290">
        <f t="shared" si="149"/>
        <v>2</v>
      </c>
      <c r="I1095" s="287">
        <f t="shared" si="149"/>
        <v>2.39</v>
      </c>
      <c r="J1095" s="384">
        <f>G1095*I1095</f>
        <v>95.600000000000009</v>
      </c>
    </row>
    <row r="1096" spans="1:10" s="263" customFormat="1">
      <c r="B1096" s="579" t="s">
        <v>2087</v>
      </c>
      <c r="C1096" s="580"/>
      <c r="D1096" s="580"/>
      <c r="E1096" s="580"/>
      <c r="F1096" s="580"/>
      <c r="G1096" s="580"/>
      <c r="H1096" s="580"/>
      <c r="I1096" s="581"/>
      <c r="J1096" s="296">
        <f>SUM(J1094:J1095)</f>
        <v>2532.2390574999999</v>
      </c>
    </row>
    <row r="1097" spans="1:10" s="263" customFormat="1">
      <c r="B1097" s="237" t="s">
        <v>512</v>
      </c>
      <c r="C1097" s="238"/>
      <c r="D1097" s="533"/>
      <c r="E1097" s="239" t="s">
        <v>525</v>
      </c>
      <c r="F1097" s="238"/>
      <c r="G1097" s="312"/>
      <c r="H1097" s="300"/>
      <c r="I1097" s="285"/>
      <c r="J1097" s="294"/>
    </row>
    <row r="1098" spans="1:10" s="276" customFormat="1" ht="28.8">
      <c r="B1098" s="381" t="s">
        <v>513</v>
      </c>
      <c r="C1098" s="382" t="s">
        <v>711</v>
      </c>
      <c r="D1098" s="383" t="str">
        <f>COMPOSIÇÕES!B10</f>
        <v>SINAPI SP - 08/2023</v>
      </c>
      <c r="E1098" s="487" t="s">
        <v>2404</v>
      </c>
      <c r="F1098" s="382" t="s">
        <v>431</v>
      </c>
      <c r="G1098" s="315">
        <v>16</v>
      </c>
      <c r="H1098" s="290">
        <f>SUM(COMPOSIÇÕES!G11:G13)</f>
        <v>328.17395199999999</v>
      </c>
      <c r="I1098" s="287">
        <f>COMPOSIÇÕES!J10</f>
        <v>392.16787263999993</v>
      </c>
      <c r="J1098" s="384">
        <f t="shared" ref="J1098:J1111" si="150">G1098*I1098</f>
        <v>6274.6859622399988</v>
      </c>
    </row>
    <row r="1099" spans="1:10" s="150" customFormat="1" ht="86.4">
      <c r="B1099" s="381" t="s">
        <v>2047</v>
      </c>
      <c r="C1099" s="382" t="s">
        <v>711</v>
      </c>
      <c r="D1099" s="383" t="str">
        <f>COMPOSIÇÕES!B14</f>
        <v>SINAPI SP - 08/2023</v>
      </c>
      <c r="E1099" s="344" t="s">
        <v>754</v>
      </c>
      <c r="F1099" s="382" t="s">
        <v>412</v>
      </c>
      <c r="G1099" s="317">
        <v>28</v>
      </c>
      <c r="H1099" s="290">
        <f>SUM(COMPOSIÇÕES!G15:G18)</f>
        <v>37.264400000000002</v>
      </c>
      <c r="I1099" s="287">
        <f>COMPOSIÇÕES!$J$14</f>
        <v>44.530958000000005</v>
      </c>
      <c r="J1099" s="384">
        <f t="shared" si="150"/>
        <v>1246.8668240000002</v>
      </c>
    </row>
    <row r="1100" spans="1:10" s="150" customFormat="1" ht="86.4">
      <c r="B1100" s="381" t="s">
        <v>2048</v>
      </c>
      <c r="C1100" s="382" t="s">
        <v>711</v>
      </c>
      <c r="D1100" s="383" t="str">
        <f>COMPOSIÇÕES!B19</f>
        <v>SINAPI SP - 08/2023</v>
      </c>
      <c r="E1100" s="344" t="s">
        <v>755</v>
      </c>
      <c r="F1100" s="382" t="s">
        <v>412</v>
      </c>
      <c r="G1100" s="317">
        <v>28</v>
      </c>
      <c r="H1100" s="290">
        <f>SUM(COMPOSIÇÕES!G20:G23)</f>
        <v>69.234999999999985</v>
      </c>
      <c r="I1100" s="287">
        <f>COMPOSIÇÕES!$J$19</f>
        <v>82.735824999999991</v>
      </c>
      <c r="J1100" s="384">
        <f t="shared" si="150"/>
        <v>2316.6030999999998</v>
      </c>
    </row>
    <row r="1101" spans="1:10" s="150" customFormat="1" ht="86.4">
      <c r="B1101" s="381" t="s">
        <v>2049</v>
      </c>
      <c r="C1101" s="382" t="s">
        <v>711</v>
      </c>
      <c r="D1101" s="383" t="str">
        <f>COMPOSIÇÕES!B24</f>
        <v>SINAPI SP - 08/2023</v>
      </c>
      <c r="E1101" s="344" t="s">
        <v>747</v>
      </c>
      <c r="F1101" s="382" t="s">
        <v>412</v>
      </c>
      <c r="G1101" s="317">
        <v>84</v>
      </c>
      <c r="H1101" s="290">
        <f>SUM(COMPOSIÇÕES!G25:G28)</f>
        <v>53.322000000000003</v>
      </c>
      <c r="I1101" s="287">
        <f>COMPOSIÇÕES!$J$24</f>
        <v>63.719789999999996</v>
      </c>
      <c r="J1101" s="384">
        <f t="shared" si="150"/>
        <v>5352.4623599999995</v>
      </c>
    </row>
    <row r="1102" spans="1:10" s="393" customFormat="1" ht="86.4">
      <c r="A1102" s="150"/>
      <c r="B1102" s="381" t="s">
        <v>2050</v>
      </c>
      <c r="C1102" s="394" t="s">
        <v>711</v>
      </c>
      <c r="D1102" s="389" t="str">
        <f>COMPOSIÇÕES!B29</f>
        <v xml:space="preserve">SINAPI SP - 08/2023 </v>
      </c>
      <c r="E1102" s="395" t="s">
        <v>748</v>
      </c>
      <c r="F1102" s="394" t="s">
        <v>412</v>
      </c>
      <c r="G1102" s="315">
        <v>84</v>
      </c>
      <c r="H1102" s="392">
        <f>SUM(COMPOSIÇÕES!G30:G33)</f>
        <v>85.438000000000002</v>
      </c>
      <c r="I1102" s="396">
        <f>COMPOSIÇÕES!$J$29</f>
        <v>102.09840999999999</v>
      </c>
      <c r="J1102" s="397">
        <f t="shared" si="150"/>
        <v>8576.2664399999994</v>
      </c>
    </row>
    <row r="1103" spans="1:10" s="393" customFormat="1" ht="28.8">
      <c r="A1103" s="150"/>
      <c r="B1103" s="381" t="s">
        <v>2051</v>
      </c>
      <c r="C1103" s="394" t="str">
        <f t="shared" ref="C1103:I1103" si="151">C1036</f>
        <v>22.02.030</v>
      </c>
      <c r="D1103" s="389" t="str">
        <f t="shared" si="151"/>
        <v>CDHU - BOLETIM 191</v>
      </c>
      <c r="E1103" s="395" t="str">
        <f t="shared" si="151"/>
        <v>Forro em painéis de gesso acartonado, espessura de 12,5mm, fixo</v>
      </c>
      <c r="F1103" s="394" t="str">
        <f t="shared" si="151"/>
        <v>M²</v>
      </c>
      <c r="G1103" s="315">
        <f>7.05*0.55*2*9</f>
        <v>69.795000000000002</v>
      </c>
      <c r="H1103" s="392">
        <f t="shared" si="151"/>
        <v>99.47</v>
      </c>
      <c r="I1103" s="396">
        <f t="shared" si="151"/>
        <v>118.86664999999999</v>
      </c>
      <c r="J1103" s="397">
        <f t="shared" si="150"/>
        <v>8296.29783675</v>
      </c>
    </row>
    <row r="1104" spans="1:10" s="150" customFormat="1" ht="57.6">
      <c r="B1104" s="381" t="s">
        <v>2052</v>
      </c>
      <c r="C1104" s="382" t="s">
        <v>711</v>
      </c>
      <c r="D1104" s="383" t="str">
        <f>COMPOSIÇÕES!B36</f>
        <v xml:space="preserve">SINAPI SP - 08/2023 </v>
      </c>
      <c r="E1104" s="398" t="s">
        <v>756</v>
      </c>
      <c r="F1104" s="382" t="s">
        <v>413</v>
      </c>
      <c r="G1104" s="315">
        <v>350</v>
      </c>
      <c r="H1104" s="287">
        <f>SUM(COMPOSIÇÕES!G37:G39)</f>
        <v>84.94</v>
      </c>
      <c r="I1104" s="287">
        <f>COMPOSIÇÕES!$J$36</f>
        <v>101.5033</v>
      </c>
      <c r="J1104" s="384">
        <f t="shared" si="150"/>
        <v>35526.154999999999</v>
      </c>
    </row>
    <row r="1105" spans="1:10" s="335" customFormat="1" ht="28.8">
      <c r="A1105" s="150"/>
      <c r="B1105" s="381" t="s">
        <v>2053</v>
      </c>
      <c r="C1105" s="383" t="str">
        <f>COMPOSIÇÕES!A44</f>
        <v>61.10.565</v>
      </c>
      <c r="D1105" s="383" t="str">
        <f>COMPOSIÇÕES!B44</f>
        <v>CDHU - BOLETIM 191</v>
      </c>
      <c r="E1105" s="388" t="s">
        <v>1042</v>
      </c>
      <c r="F1105" s="382" t="s">
        <v>431</v>
      </c>
      <c r="G1105" s="315">
        <v>6</v>
      </c>
      <c r="H1105" s="287">
        <f>COMPOSIÇÕES!G45</f>
        <v>248.91654375000002</v>
      </c>
      <c r="I1105" s="287">
        <f>COMPOSIÇÕES!$J$44</f>
        <v>297.45526978125002</v>
      </c>
      <c r="J1105" s="384">
        <f t="shared" si="150"/>
        <v>1784.7316186875</v>
      </c>
    </row>
    <row r="1106" spans="1:10" s="335" customFormat="1" ht="28.8">
      <c r="A1106" s="150"/>
      <c r="B1106" s="381" t="s">
        <v>2054</v>
      </c>
      <c r="C1106" s="383" t="str">
        <f>COMPOSIÇÕES!A46</f>
        <v>61.10.564</v>
      </c>
      <c r="D1106" s="383" t="str">
        <f>COMPOSIÇÕES!B46</f>
        <v>CDHU - BOLETIM 191</v>
      </c>
      <c r="E1106" s="388" t="s">
        <v>1043</v>
      </c>
      <c r="F1106" s="382" t="s">
        <v>431</v>
      </c>
      <c r="G1106" s="315">
        <v>2</v>
      </c>
      <c r="H1106" s="287">
        <f>COMPOSIÇÕES!G47</f>
        <v>49.947131250000005</v>
      </c>
      <c r="I1106" s="287">
        <f>COMPOSIÇÕES!$J$46</f>
        <v>59.68682184375001</v>
      </c>
      <c r="J1106" s="384">
        <f t="shared" si="150"/>
        <v>119.37364368750002</v>
      </c>
    </row>
    <row r="1107" spans="1:10" s="335" customFormat="1" ht="28.8">
      <c r="A1107" s="150"/>
      <c r="B1107" s="381" t="s">
        <v>2055</v>
      </c>
      <c r="C1107" s="383" t="str">
        <f>COMPOSIÇÕES!A48</f>
        <v>61.10.564</v>
      </c>
      <c r="D1107" s="383" t="str">
        <f>COMPOSIÇÕES!B48</f>
        <v>CDHU - BOLETIM 191</v>
      </c>
      <c r="E1107" s="388" t="s">
        <v>1044</v>
      </c>
      <c r="F1107" s="382" t="s">
        <v>431</v>
      </c>
      <c r="G1107" s="315">
        <v>1</v>
      </c>
      <c r="H1107" s="287">
        <f>COMPOSIÇÕES!G49</f>
        <v>82.875240000000005</v>
      </c>
      <c r="I1107" s="287">
        <f>COMPOSIÇÕES!$J$48</f>
        <v>99.035911800000008</v>
      </c>
      <c r="J1107" s="384">
        <f t="shared" si="150"/>
        <v>99.035911800000008</v>
      </c>
    </row>
    <row r="1108" spans="1:10" s="150" customFormat="1" ht="28.8">
      <c r="B1108" s="381" t="s">
        <v>2056</v>
      </c>
      <c r="C1108" s="383" t="str">
        <f>COMPOSIÇÕES!A122</f>
        <v>61.10.581</v>
      </c>
      <c r="D1108" s="383" t="str">
        <f>COMPOSIÇÕES!B122</f>
        <v>CDHU - BOLETIM 191</v>
      </c>
      <c r="E1108" s="388" t="s">
        <v>809</v>
      </c>
      <c r="F1108" s="382" t="s">
        <v>431</v>
      </c>
      <c r="G1108" s="317">
        <v>1</v>
      </c>
      <c r="H1108" s="287">
        <f>COMPOSIÇÕES!G123</f>
        <v>33.890000000000008</v>
      </c>
      <c r="I1108" s="287">
        <f>COMPOSIÇÕES!$J$122</f>
        <v>40.498550000000009</v>
      </c>
      <c r="J1108" s="384">
        <f t="shared" si="150"/>
        <v>40.498550000000009</v>
      </c>
    </row>
    <row r="1109" spans="1:10" s="150" customFormat="1" ht="28.8">
      <c r="B1109" s="381" t="s">
        <v>2057</v>
      </c>
      <c r="C1109" s="383" t="str">
        <f>COMPOSIÇÕES!A124</f>
        <v>61.10.581</v>
      </c>
      <c r="D1109" s="383" t="str">
        <f>COMPOSIÇÕES!B124</f>
        <v>CDHU - BOLETIM 191</v>
      </c>
      <c r="E1109" s="388" t="s">
        <v>1119</v>
      </c>
      <c r="F1109" s="382" t="s">
        <v>431</v>
      </c>
      <c r="G1109" s="317">
        <v>6</v>
      </c>
      <c r="H1109" s="287">
        <f>SUM(COMPOSIÇÕES!$G$125:$G$125)</f>
        <v>203.34</v>
      </c>
      <c r="I1109" s="287">
        <f>COMPOSIÇÕES!$J$124</f>
        <v>242.9913</v>
      </c>
      <c r="J1109" s="384">
        <f t="shared" si="150"/>
        <v>1457.9477999999999</v>
      </c>
    </row>
    <row r="1110" spans="1:10" s="150" customFormat="1" ht="28.8">
      <c r="B1110" s="381" t="s">
        <v>2058</v>
      </c>
      <c r="C1110" s="383" t="str">
        <f>COMPOSIÇÕES!A56</f>
        <v>61.10.581</v>
      </c>
      <c r="D1110" s="383" t="str">
        <f>COMPOSIÇÕES!B56</f>
        <v>CDHU - BOLETIM 191</v>
      </c>
      <c r="E1110" s="388" t="s">
        <v>1117</v>
      </c>
      <c r="F1110" s="382" t="s">
        <v>431</v>
      </c>
      <c r="G1110" s="315">
        <v>2</v>
      </c>
      <c r="H1110" s="287">
        <f>COMPOSIÇÕES!G57</f>
        <v>16.945000000000004</v>
      </c>
      <c r="I1110" s="287">
        <f>COMPOSIÇÕES!$J$56</f>
        <v>20.249275000000004</v>
      </c>
      <c r="J1110" s="384">
        <f t="shared" si="150"/>
        <v>40.498550000000009</v>
      </c>
    </row>
    <row r="1111" spans="1:10" s="150" customFormat="1" ht="28.8">
      <c r="A1111" s="271"/>
      <c r="B1111" s="381" t="s">
        <v>2059</v>
      </c>
      <c r="C1111" s="382" t="s">
        <v>711</v>
      </c>
      <c r="D1111" s="383" t="str">
        <f>COMPOSIÇÕES!B58</f>
        <v xml:space="preserve">SINAPI SP - 08/2023 </v>
      </c>
      <c r="E1111" s="388" t="s">
        <v>758</v>
      </c>
      <c r="F1111" s="382" t="s">
        <v>412</v>
      </c>
      <c r="G1111" s="315">
        <v>170</v>
      </c>
      <c r="H1111" s="287">
        <f>COMPOSIÇÕES!G59+COMPOSIÇÕES!G60+COMPOSIÇÕES!G61</f>
        <v>31.499000000000002</v>
      </c>
      <c r="I1111" s="287">
        <f>COMPOSIÇÕES!$J$58</f>
        <v>37.641304999999996</v>
      </c>
      <c r="J1111" s="384">
        <f t="shared" si="150"/>
        <v>6399.0218499999992</v>
      </c>
    </row>
    <row r="1112" spans="1:10" s="150" customFormat="1" ht="28.8">
      <c r="A1112" s="271"/>
      <c r="B1112" s="381" t="s">
        <v>2060</v>
      </c>
      <c r="C1112" s="382" t="s">
        <v>711</v>
      </c>
      <c r="D1112" s="383" t="str">
        <f>COMPOSIÇÕES!B64</f>
        <v>SINAPI SP - 08/2023</v>
      </c>
      <c r="E1112" s="388" t="s">
        <v>697</v>
      </c>
      <c r="F1112" s="382" t="s">
        <v>431</v>
      </c>
      <c r="G1112" s="315">
        <v>16</v>
      </c>
      <c r="H1112" s="287">
        <f>SUM(COMPOSIÇÕES!G65:G67)</f>
        <v>92.32</v>
      </c>
      <c r="I1112" s="287">
        <f>COMPOSIÇÕES!$J$64</f>
        <v>110.32240000000002</v>
      </c>
      <c r="J1112" s="384">
        <f>I1112*G1112</f>
        <v>1765.1584000000003</v>
      </c>
    </row>
    <row r="1113" spans="1:10" s="150" customFormat="1" ht="28.8">
      <c r="A1113" s="271"/>
      <c r="B1113" s="381" t="s">
        <v>2061</v>
      </c>
      <c r="C1113" s="382" t="s">
        <v>711</v>
      </c>
      <c r="D1113" s="383" t="str">
        <f>COMPOSIÇÕES!B68</f>
        <v xml:space="preserve">SINAPI SP - 08/2023 </v>
      </c>
      <c r="E1113" s="388" t="s">
        <v>762</v>
      </c>
      <c r="F1113" s="382" t="s">
        <v>415</v>
      </c>
      <c r="G1113" s="315">
        <v>8</v>
      </c>
      <c r="H1113" s="287">
        <f>SUM(COMPOSIÇÕES!$G$69:$G$70)</f>
        <v>58.91</v>
      </c>
      <c r="I1113" s="287">
        <f>COMPOSIÇÕES!$J$68</f>
        <v>70.397449999999992</v>
      </c>
      <c r="J1113" s="384">
        <f>I1113*G1113</f>
        <v>563.17959999999994</v>
      </c>
    </row>
    <row r="1114" spans="1:10" s="150" customFormat="1" ht="28.8">
      <c r="A1114" s="271"/>
      <c r="B1114" s="381" t="s">
        <v>2062</v>
      </c>
      <c r="C1114" s="399" t="s">
        <v>763</v>
      </c>
      <c r="D1114" s="273" t="str">
        <f>COMPOSIÇÕES!B71</f>
        <v xml:space="preserve">SINAPI SP - 08/2023 </v>
      </c>
      <c r="E1114" s="400" t="s">
        <v>761</v>
      </c>
      <c r="F1114" s="273" t="s">
        <v>541</v>
      </c>
      <c r="G1114" s="316">
        <v>2</v>
      </c>
      <c r="H1114" s="287">
        <f>SUM(COMPOSIÇÕES!$G$72:$G$72)</f>
        <v>28.8</v>
      </c>
      <c r="I1114" s="287">
        <f>COMPOSIÇÕES!$J$71</f>
        <v>34.416000000000004</v>
      </c>
      <c r="J1114" s="384">
        <f>I1114*G1114</f>
        <v>68.832000000000008</v>
      </c>
    </row>
    <row r="1115" spans="1:10" s="150" customFormat="1">
      <c r="A1115" s="271"/>
      <c r="B1115" s="381" t="s">
        <v>2420</v>
      </c>
      <c r="C1115" s="399" t="s">
        <v>759</v>
      </c>
      <c r="D1115" s="273" t="str">
        <f>COMPOSIÇÕES!B73</f>
        <v>FDE - 07/2023</v>
      </c>
      <c r="E1115" s="400" t="s">
        <v>760</v>
      </c>
      <c r="F1115" s="273" t="s">
        <v>701</v>
      </c>
      <c r="G1115" s="316">
        <v>1</v>
      </c>
      <c r="H1115" s="530">
        <f>VLOOKUP(C1115,COMPOSIÇÕES!A:J,6,FALSE)</f>
        <v>38.485355648535567</v>
      </c>
      <c r="I1115" s="287">
        <f>COMPOSIÇÕES!$J$73</f>
        <v>45.99</v>
      </c>
      <c r="J1115" s="384">
        <f>I1115*G1115</f>
        <v>45.99</v>
      </c>
    </row>
    <row r="1116" spans="1:10" s="150" customFormat="1">
      <c r="A1116" s="271"/>
      <c r="B1116" s="381" t="s">
        <v>2452</v>
      </c>
      <c r="C1116" s="399" t="s">
        <v>764</v>
      </c>
      <c r="D1116" s="273" t="str">
        <f>COMPOSIÇÕES!B73</f>
        <v>FDE - 07/2023</v>
      </c>
      <c r="E1116" s="400" t="s">
        <v>765</v>
      </c>
      <c r="F1116" s="273" t="s">
        <v>541</v>
      </c>
      <c r="G1116" s="316">
        <v>3</v>
      </c>
      <c r="H1116" s="530">
        <f>VLOOKUP(C1116,COMPOSIÇÕES!A:J,6,FALSE)</f>
        <v>210.81171548117152</v>
      </c>
      <c r="I1116" s="287">
        <f>COMPOSIÇÕES!$J$74</f>
        <v>251.91999999999996</v>
      </c>
      <c r="J1116" s="384">
        <f>I1116*G1116</f>
        <v>755.75999999999988</v>
      </c>
    </row>
    <row r="1117" spans="1:10" s="263" customFormat="1">
      <c r="B1117" s="579" t="s">
        <v>2088</v>
      </c>
      <c r="C1117" s="580"/>
      <c r="D1117" s="580"/>
      <c r="E1117" s="580"/>
      <c r="F1117" s="580"/>
      <c r="G1117" s="580"/>
      <c r="H1117" s="580"/>
      <c r="I1117" s="581"/>
      <c r="J1117" s="296">
        <f>SUM(J1098:J1116)</f>
        <v>80729.365447165008</v>
      </c>
    </row>
    <row r="1118" spans="1:10" s="263" customFormat="1">
      <c r="B1118" s="237" t="s">
        <v>663</v>
      </c>
      <c r="C1118" s="238"/>
      <c r="D1118" s="533"/>
      <c r="E1118" s="239" t="s">
        <v>526</v>
      </c>
      <c r="F1118" s="238"/>
      <c r="G1118" s="312"/>
      <c r="H1118" s="300"/>
      <c r="I1118" s="285"/>
      <c r="J1118" s="294"/>
    </row>
    <row r="1119" spans="1:10" s="276" customFormat="1">
      <c r="A1119" s="263"/>
      <c r="B1119" s="381" t="s">
        <v>664</v>
      </c>
      <c r="C1119" s="382" t="s">
        <v>711</v>
      </c>
      <c r="D1119" s="383" t="str">
        <f>COMPOSIÇÕES!B75</f>
        <v>FDE - 07/2023</v>
      </c>
      <c r="E1119" s="344" t="s">
        <v>745</v>
      </c>
      <c r="F1119" s="382" t="s">
        <v>431</v>
      </c>
      <c r="G1119" s="316">
        <v>54</v>
      </c>
      <c r="H1119" s="290">
        <f>SUM(COMPOSIÇÕES!G76:G78)</f>
        <v>34.013252032520327</v>
      </c>
      <c r="I1119" s="287">
        <f>COMPOSIÇÕES!$J$75</f>
        <v>40.645836178861792</v>
      </c>
      <c r="J1119" s="384">
        <f t="shared" ref="J1119:J1147" si="152">G1119*I1119</f>
        <v>2194.8751536585369</v>
      </c>
    </row>
    <row r="1120" spans="1:10" s="276" customFormat="1" ht="43.2">
      <c r="A1120" s="263"/>
      <c r="B1120" s="381" t="s">
        <v>665</v>
      </c>
      <c r="C1120" s="382" t="s">
        <v>711</v>
      </c>
      <c r="D1120" s="383" t="str">
        <f>COMPOSIÇÕES!B128</f>
        <v>FDE - 07/2023 + SINAPI SP - 08/2023</v>
      </c>
      <c r="E1120" s="344" t="s">
        <v>812</v>
      </c>
      <c r="F1120" s="382" t="s">
        <v>431</v>
      </c>
      <c r="G1120" s="316">
        <v>2</v>
      </c>
      <c r="H1120" s="290">
        <f>SUM(COMPOSIÇÕES!G129:G131)</f>
        <v>23.056000000000001</v>
      </c>
      <c r="I1120" s="287">
        <f>COMPOSIÇÕES!$J$128</f>
        <v>27.551920000000003</v>
      </c>
      <c r="J1120" s="384">
        <f t="shared" si="152"/>
        <v>55.103840000000005</v>
      </c>
    </row>
    <row r="1121" spans="1:10" s="276" customFormat="1" ht="43.2">
      <c r="A1121" s="263"/>
      <c r="B1121" s="381" t="s">
        <v>666</v>
      </c>
      <c r="C1121" s="382" t="s">
        <v>711</v>
      </c>
      <c r="D1121" s="383" t="str">
        <f>COMPOSIÇÕES!B79</f>
        <v>FDE - 07/2023 + SINAPI SP - 08/2023</v>
      </c>
      <c r="E1121" s="344" t="s">
        <v>742</v>
      </c>
      <c r="F1121" s="382" t="s">
        <v>431</v>
      </c>
      <c r="G1121" s="316">
        <v>3</v>
      </c>
      <c r="H1121" s="290">
        <f>SUM(COMPOSIÇÕES!G80:G82)</f>
        <v>6.9960000000000004</v>
      </c>
      <c r="I1121" s="287">
        <f>COMPOSIÇÕES!$J$79</f>
        <v>8.36022</v>
      </c>
      <c r="J1121" s="384">
        <f t="shared" si="152"/>
        <v>25.080660000000002</v>
      </c>
    </row>
    <row r="1122" spans="1:10" s="276" customFormat="1">
      <c r="A1122" s="263"/>
      <c r="B1122" s="381" t="s">
        <v>667</v>
      </c>
      <c r="C1122" s="382" t="s">
        <v>739</v>
      </c>
      <c r="D1122" s="383" t="str">
        <f>COMPOSIÇÕES!B83</f>
        <v>FDE - 07/2023</v>
      </c>
      <c r="E1122" s="344" t="s">
        <v>766</v>
      </c>
      <c r="F1122" s="382" t="s">
        <v>431</v>
      </c>
      <c r="G1122" s="316">
        <v>20</v>
      </c>
      <c r="H1122" s="530">
        <f>VLOOKUP(C1122,COMPOSIÇÕES!A:J,6,FALSE)</f>
        <v>32.35146443514644</v>
      </c>
      <c r="I1122" s="287">
        <f>COMPOSIÇÕES!$J$83</f>
        <v>38.659999999999997</v>
      </c>
      <c r="J1122" s="384">
        <f t="shared" si="152"/>
        <v>773.19999999999993</v>
      </c>
    </row>
    <row r="1123" spans="1:10" s="276" customFormat="1">
      <c r="A1123" s="263"/>
      <c r="B1123" s="381" t="s">
        <v>668</v>
      </c>
      <c r="C1123" s="382" t="s">
        <v>739</v>
      </c>
      <c r="D1123" s="383" t="str">
        <f t="shared" ref="D1123:D1124" si="153">$D$1122</f>
        <v>FDE - 07/2023</v>
      </c>
      <c r="E1123" s="344" t="s">
        <v>767</v>
      </c>
      <c r="F1123" s="382" t="s">
        <v>431</v>
      </c>
      <c r="G1123" s="316">
        <v>7</v>
      </c>
      <c r="H1123" s="530">
        <f>VLOOKUP(C1123,COMPOSIÇÕES!A:J,6,FALSE)</f>
        <v>32.35146443514644</v>
      </c>
      <c r="I1123" s="287">
        <f>COMPOSIÇÕES!$J$83</f>
        <v>38.659999999999997</v>
      </c>
      <c r="J1123" s="384">
        <f t="shared" si="152"/>
        <v>270.62</v>
      </c>
    </row>
    <row r="1124" spans="1:10" s="276" customFormat="1">
      <c r="A1124" s="263"/>
      <c r="B1124" s="381" t="s">
        <v>2063</v>
      </c>
      <c r="C1124" s="382" t="s">
        <v>739</v>
      </c>
      <c r="D1124" s="383" t="str">
        <f t="shared" si="153"/>
        <v>FDE - 07/2023</v>
      </c>
      <c r="E1124" s="344" t="s">
        <v>768</v>
      </c>
      <c r="F1124" s="382" t="s">
        <v>431</v>
      </c>
      <c r="G1124" s="316">
        <v>4</v>
      </c>
      <c r="H1124" s="530">
        <f>VLOOKUP(C1124,COMPOSIÇÕES!A:J,6,FALSE)</f>
        <v>32.35146443514644</v>
      </c>
      <c r="I1124" s="287">
        <f>COMPOSIÇÕES!$J$83</f>
        <v>38.659999999999997</v>
      </c>
      <c r="J1124" s="384">
        <f t="shared" si="152"/>
        <v>154.63999999999999</v>
      </c>
    </row>
    <row r="1125" spans="1:10" s="276" customFormat="1">
      <c r="A1125" s="263"/>
      <c r="B1125" s="381" t="s">
        <v>2064</v>
      </c>
      <c r="C1125" s="382" t="s">
        <v>738</v>
      </c>
      <c r="D1125" s="383" t="str">
        <f>COMPOSIÇÕES!B84</f>
        <v>FDE - 07/2023</v>
      </c>
      <c r="E1125" s="344" t="s">
        <v>769</v>
      </c>
      <c r="F1125" s="382" t="s">
        <v>431</v>
      </c>
      <c r="G1125" s="316">
        <v>1</v>
      </c>
      <c r="H1125" s="530">
        <f>VLOOKUP(C1125,COMPOSIÇÕES!A:J,6,FALSE)</f>
        <v>37.087866108786606</v>
      </c>
      <c r="I1125" s="287">
        <f>COMPOSIÇÕES!$J$84</f>
        <v>44.319999999999993</v>
      </c>
      <c r="J1125" s="384">
        <f t="shared" si="152"/>
        <v>44.319999999999993</v>
      </c>
    </row>
    <row r="1126" spans="1:10" s="276" customFormat="1">
      <c r="A1126" s="263"/>
      <c r="B1126" s="381" t="s">
        <v>2065</v>
      </c>
      <c r="C1126" s="382" t="s">
        <v>819</v>
      </c>
      <c r="D1126" s="383" t="str">
        <f>COMPOSIÇÕES!B140</f>
        <v>FDE - 07/2023</v>
      </c>
      <c r="E1126" s="344" t="s">
        <v>820</v>
      </c>
      <c r="F1126" s="382" t="s">
        <v>431</v>
      </c>
      <c r="G1126" s="316">
        <v>1</v>
      </c>
      <c r="H1126" s="530">
        <f>COMPOSIÇÕES!F140</f>
        <v>68.63</v>
      </c>
      <c r="I1126" s="287">
        <f>COMPOSIÇÕES!$J$140</f>
        <v>82.01285</v>
      </c>
      <c r="J1126" s="384">
        <f t="shared" si="152"/>
        <v>82.01285</v>
      </c>
    </row>
    <row r="1127" spans="1:10" s="276" customFormat="1" ht="43.2">
      <c r="A1127" s="263"/>
      <c r="B1127" s="381" t="s">
        <v>2066</v>
      </c>
      <c r="C1127" s="382" t="s">
        <v>711</v>
      </c>
      <c r="D1127" s="383" t="str">
        <f>COMPOSIÇÕES!B233</f>
        <v>SINAPI SP - 08/2023</v>
      </c>
      <c r="E1127" s="344" t="s">
        <v>831</v>
      </c>
      <c r="F1127" s="382" t="s">
        <v>431</v>
      </c>
      <c r="G1127" s="316">
        <v>2</v>
      </c>
      <c r="H1127" s="290">
        <f>SUM(COMPOSIÇÕES!G234:G236)</f>
        <v>42.53</v>
      </c>
      <c r="I1127" s="287">
        <f>COMPOSIÇÕES!$J$233</f>
        <v>50.823350000000005</v>
      </c>
      <c r="J1127" s="384">
        <f t="shared" si="152"/>
        <v>101.64670000000001</v>
      </c>
    </row>
    <row r="1128" spans="1:10" s="276" customFormat="1">
      <c r="A1128" s="263"/>
      <c r="B1128" s="381" t="s">
        <v>2067</v>
      </c>
      <c r="C1128" s="382" t="s">
        <v>735</v>
      </c>
      <c r="D1128" s="383" t="str">
        <f>COMPOSIÇÕES!B89</f>
        <v>FDE - 07/2023</v>
      </c>
      <c r="E1128" s="344" t="s">
        <v>736</v>
      </c>
      <c r="F1128" s="382" t="s">
        <v>431</v>
      </c>
      <c r="G1128" s="316">
        <v>79</v>
      </c>
      <c r="H1128" s="530">
        <f>VLOOKUP(C1128,COMPOSIÇÕES!A:J,6,FALSE)</f>
        <v>7.8158995815899575</v>
      </c>
      <c r="I1128" s="287">
        <f>COMPOSIÇÕES!$J$89</f>
        <v>9.34</v>
      </c>
      <c r="J1128" s="384">
        <f t="shared" si="152"/>
        <v>737.86</v>
      </c>
    </row>
    <row r="1129" spans="1:10" s="276" customFormat="1" ht="28.8">
      <c r="A1129" s="263"/>
      <c r="B1129" s="381" t="s">
        <v>2068</v>
      </c>
      <c r="C1129" s="383" t="str">
        <f>COMPOSIÇÕES!A91</f>
        <v>38.21.920</v>
      </c>
      <c r="D1129" s="383" t="str">
        <f>COMPOSIÇÕES!B91</f>
        <v>CDHU - BOLETIM 191</v>
      </c>
      <c r="E1129" s="388" t="str">
        <f>COMPOSIÇÕES!C91</f>
        <v>Eletrocalha perfurada galvanizada a fogo, 100 x 50 mm, com acessórios</v>
      </c>
      <c r="F1129" s="382" t="s">
        <v>412</v>
      </c>
      <c r="G1129" s="316">
        <f>15*3</f>
        <v>45</v>
      </c>
      <c r="H1129" s="530">
        <f>VLOOKUP(C1129,COMPOSIÇÕES!A:J,6,FALSE)</f>
        <v>98.38</v>
      </c>
      <c r="I1129" s="287">
        <f>COMPOSIÇÕES!$J$91</f>
        <v>117.5641</v>
      </c>
      <c r="J1129" s="384">
        <f t="shared" si="152"/>
        <v>5290.3845000000001</v>
      </c>
    </row>
    <row r="1130" spans="1:10" s="276" customFormat="1" ht="28.8">
      <c r="A1130" s="263"/>
      <c r="B1130" s="381" t="s">
        <v>2069</v>
      </c>
      <c r="C1130" s="383" t="str">
        <f>COMPOSIÇÕES!A92</f>
        <v>38.06.040</v>
      </c>
      <c r="D1130" s="383" t="str">
        <f>COMPOSIÇÕES!B92</f>
        <v>CDHU - BOLETIM 191</v>
      </c>
      <c r="E1130" s="388" t="str">
        <f>COMPOSIÇÕES!C92</f>
        <v>Eletroduto galvanizado a quente conforme NBR5598 ‐ 3/4´ com acessórios</v>
      </c>
      <c r="F1130" s="382" t="s">
        <v>412</v>
      </c>
      <c r="G1130" s="316">
        <f>30*3</f>
        <v>90</v>
      </c>
      <c r="H1130" s="530">
        <f>VLOOKUP(C1130,COMPOSIÇÕES!A:J,6,FALSE)</f>
        <v>60.65</v>
      </c>
      <c r="I1130" s="287">
        <f>COMPOSIÇÕES!$J$92</f>
        <v>72.476749999999996</v>
      </c>
      <c r="J1130" s="384">
        <f t="shared" si="152"/>
        <v>6522.9074999999993</v>
      </c>
    </row>
    <row r="1131" spans="1:10" s="276" customFormat="1" ht="28.8">
      <c r="A1131" s="263"/>
      <c r="B1131" s="381" t="s">
        <v>2070</v>
      </c>
      <c r="C1131" s="383" t="str">
        <f>COMPOSIÇÕES!A93</f>
        <v>38.06.060</v>
      </c>
      <c r="D1131" s="383" t="str">
        <f>COMPOSIÇÕES!B93</f>
        <v>CDHU - BOLETIM 191</v>
      </c>
      <c r="E1131" s="388" t="str">
        <f>COMPOSIÇÕES!C93</f>
        <v>Eletroduto galvanizado a quente conforme NBR5598 ‐ 1´ com acessórios</v>
      </c>
      <c r="F1131" s="382" t="s">
        <v>412</v>
      </c>
      <c r="G1131" s="316">
        <f>1*3</f>
        <v>3</v>
      </c>
      <c r="H1131" s="530">
        <f>VLOOKUP(C1131,COMPOSIÇÕES!A:J,6,FALSE)</f>
        <v>75.38</v>
      </c>
      <c r="I1131" s="287">
        <f>COMPOSIÇÕES!$J$93</f>
        <v>90.079099999999997</v>
      </c>
      <c r="J1131" s="384">
        <f t="shared" si="152"/>
        <v>270.2373</v>
      </c>
    </row>
    <row r="1132" spans="1:10" s="276" customFormat="1" ht="28.8">
      <c r="A1132" s="263"/>
      <c r="B1132" s="381" t="s">
        <v>2071</v>
      </c>
      <c r="C1132" s="383" t="str">
        <f>COMPOSIÇÕES!A142</f>
        <v>38.06.100</v>
      </c>
      <c r="D1132" s="383" t="str">
        <f>COMPOSIÇÕES!B142</f>
        <v>CDHU - BOLETIM 191</v>
      </c>
      <c r="E1132" s="388" t="str">
        <f>COMPOSIÇÕES!C142</f>
        <v>Eletroduto galvanizado a quente conforme NBR5598 ‐ 1 1/2´ com
acessórios</v>
      </c>
      <c r="F1132" s="382" t="s">
        <v>431</v>
      </c>
      <c r="G1132" s="316">
        <f>2*3</f>
        <v>6</v>
      </c>
      <c r="H1132" s="530">
        <f>VLOOKUP(C1132,COMPOSIÇÕES!A:J,6,FALSE)</f>
        <v>111.35</v>
      </c>
      <c r="I1132" s="287">
        <f>COMPOSIÇÕES!$J$142</f>
        <v>133.06324999999998</v>
      </c>
      <c r="J1132" s="384">
        <f t="shared" si="152"/>
        <v>798.37949999999989</v>
      </c>
    </row>
    <row r="1133" spans="1:10" s="276" customFormat="1" ht="28.8">
      <c r="A1133" s="263"/>
      <c r="B1133" s="381" t="s">
        <v>2072</v>
      </c>
      <c r="C1133" s="383" t="str">
        <f>COMPOSIÇÕES!A191</f>
        <v>38.06.120</v>
      </c>
      <c r="D1133" s="383" t="str">
        <f>COMPOSIÇÕES!B191</f>
        <v>CDHU - BOLETIM 191</v>
      </c>
      <c r="E1133" s="388" t="str">
        <f>COMPOSIÇÕES!C191</f>
        <v>Eletroduto galvanizado a quente conforme NBR5598 ‐ 2´ com acessórios</v>
      </c>
      <c r="F1133" s="382" t="s">
        <v>431</v>
      </c>
      <c r="G1133" s="316">
        <f>5*3</f>
        <v>15</v>
      </c>
      <c r="H1133" s="530">
        <f>VLOOKUP(C1133,COMPOSIÇÕES!A:J,6,FALSE)</f>
        <v>128.12</v>
      </c>
      <c r="I1133" s="287">
        <f>COMPOSIÇÕES!$J$191</f>
        <v>153.10340000000002</v>
      </c>
      <c r="J1133" s="384">
        <f t="shared" si="152"/>
        <v>2296.5510000000004</v>
      </c>
    </row>
    <row r="1134" spans="1:10" s="276" customFormat="1">
      <c r="A1134" s="263"/>
      <c r="B1134" s="381" t="s">
        <v>2073</v>
      </c>
      <c r="C1134" s="382" t="s">
        <v>729</v>
      </c>
      <c r="D1134" s="383" t="str">
        <f>COMPOSIÇÕES!B95</f>
        <v>FDE - 07/2023</v>
      </c>
      <c r="E1134" s="344" t="s">
        <v>730</v>
      </c>
      <c r="F1134" s="382" t="s">
        <v>412</v>
      </c>
      <c r="G1134" s="316">
        <v>1</v>
      </c>
      <c r="H1134" s="530">
        <f>VLOOKUP(C1134,COMPOSIÇÕES!A:J,6,FALSE)</f>
        <v>50.77</v>
      </c>
      <c r="I1134" s="287">
        <f>COMPOSIÇÕES!$J$95</f>
        <v>60.670150000000007</v>
      </c>
      <c r="J1134" s="384">
        <f t="shared" si="152"/>
        <v>60.670150000000007</v>
      </c>
    </row>
    <row r="1135" spans="1:10" s="276" customFormat="1" ht="28.8">
      <c r="A1135" s="263"/>
      <c r="B1135" s="381" t="s">
        <v>2074</v>
      </c>
      <c r="C1135" s="382">
        <v>91927</v>
      </c>
      <c r="D1135" s="383" t="str">
        <f>COMPOSIÇÕES!B96</f>
        <v>SINAPI SP - 08/2023</v>
      </c>
      <c r="E1135" s="344" t="s">
        <v>770</v>
      </c>
      <c r="F1135" s="382" t="s">
        <v>412</v>
      </c>
      <c r="G1135" s="316">
        <v>450</v>
      </c>
      <c r="H1135" s="530">
        <f>VLOOKUP(C1135,COMPOSIÇÕES!A:J,6,FALSE)</f>
        <v>4.8</v>
      </c>
      <c r="I1135" s="287">
        <f>COMPOSIÇÕES!$J$96</f>
        <v>5.7359999999999998</v>
      </c>
      <c r="J1135" s="384">
        <f t="shared" si="152"/>
        <v>2581.1999999999998</v>
      </c>
    </row>
    <row r="1136" spans="1:10" s="276" customFormat="1" ht="28.8">
      <c r="A1136" s="263"/>
      <c r="B1136" s="381" t="s">
        <v>2075</v>
      </c>
      <c r="C1136" s="382">
        <v>91927</v>
      </c>
      <c r="D1136" s="383" t="str">
        <f t="shared" ref="D1136:D1138" si="154">$D$1135</f>
        <v>SINAPI SP - 08/2023</v>
      </c>
      <c r="E1136" s="344" t="s">
        <v>771</v>
      </c>
      <c r="F1136" s="382" t="s">
        <v>412</v>
      </c>
      <c r="G1136" s="316">
        <v>425</v>
      </c>
      <c r="H1136" s="530">
        <f>VLOOKUP(C1136,COMPOSIÇÕES!A:J,6,FALSE)</f>
        <v>4.8</v>
      </c>
      <c r="I1136" s="287">
        <f>COMPOSIÇÕES!$J$96</f>
        <v>5.7359999999999998</v>
      </c>
      <c r="J1136" s="384">
        <f t="shared" si="152"/>
        <v>2437.7999999999997</v>
      </c>
    </row>
    <row r="1137" spans="1:10" s="276" customFormat="1" ht="28.8">
      <c r="A1137" s="263"/>
      <c r="B1137" s="381" t="s">
        <v>2076</v>
      </c>
      <c r="C1137" s="382">
        <v>91927</v>
      </c>
      <c r="D1137" s="383" t="str">
        <f t="shared" si="154"/>
        <v>SINAPI SP - 08/2023</v>
      </c>
      <c r="E1137" s="344" t="s">
        <v>772</v>
      </c>
      <c r="F1137" s="382" t="s">
        <v>412</v>
      </c>
      <c r="G1137" s="316">
        <v>425</v>
      </c>
      <c r="H1137" s="530">
        <f>VLOOKUP(C1137,COMPOSIÇÕES!A:J,6,FALSE)</f>
        <v>4.8</v>
      </c>
      <c r="I1137" s="287">
        <f>COMPOSIÇÕES!$J$96</f>
        <v>5.7359999999999998</v>
      </c>
      <c r="J1137" s="384">
        <f t="shared" si="152"/>
        <v>2437.7999999999997</v>
      </c>
    </row>
    <row r="1138" spans="1:10" s="276" customFormat="1" ht="28.8">
      <c r="A1138" s="263"/>
      <c r="B1138" s="381" t="s">
        <v>2077</v>
      </c>
      <c r="C1138" s="382">
        <v>91927</v>
      </c>
      <c r="D1138" s="383" t="str">
        <f t="shared" si="154"/>
        <v>SINAPI SP - 08/2023</v>
      </c>
      <c r="E1138" s="344" t="s">
        <v>773</v>
      </c>
      <c r="F1138" s="382" t="s">
        <v>412</v>
      </c>
      <c r="G1138" s="316">
        <v>200</v>
      </c>
      <c r="H1138" s="530">
        <f>VLOOKUP(C1138,COMPOSIÇÕES!A:J,6,FALSE)</f>
        <v>4.8</v>
      </c>
      <c r="I1138" s="287">
        <f>COMPOSIÇÕES!$J$96</f>
        <v>5.7359999999999998</v>
      </c>
      <c r="J1138" s="384">
        <f t="shared" si="152"/>
        <v>1147.2</v>
      </c>
    </row>
    <row r="1139" spans="1:10" s="276" customFormat="1" ht="28.8">
      <c r="A1139" s="263"/>
      <c r="B1139" s="381" t="s">
        <v>2078</v>
      </c>
      <c r="C1139" s="382">
        <v>92984</v>
      </c>
      <c r="D1139" s="383" t="str">
        <f>COMPOSIÇÕES!B98</f>
        <v>SINAPI SP - 08/2023</v>
      </c>
      <c r="E1139" s="344" t="s">
        <v>777</v>
      </c>
      <c r="F1139" s="382" t="s">
        <v>412</v>
      </c>
      <c r="G1139" s="316">
        <v>20</v>
      </c>
      <c r="H1139" s="530">
        <f>VLOOKUP(C1139,COMPOSIÇÕES!A:J,6,FALSE)</f>
        <v>23.65</v>
      </c>
      <c r="I1139" s="287">
        <f>COMPOSIÇÕES!$J$98</f>
        <v>28.261749999999999</v>
      </c>
      <c r="J1139" s="384">
        <f t="shared" si="152"/>
        <v>565.23500000000001</v>
      </c>
    </row>
    <row r="1140" spans="1:10" s="276" customFormat="1" ht="28.8">
      <c r="A1140" s="263"/>
      <c r="B1140" s="381" t="s">
        <v>2079</v>
      </c>
      <c r="C1140" s="382">
        <v>92988</v>
      </c>
      <c r="D1140" s="383" t="str">
        <f>COMPOSIÇÕES!B99</f>
        <v>SINAPI SP - 08/2023</v>
      </c>
      <c r="E1140" s="344" t="s">
        <v>778</v>
      </c>
      <c r="F1140" s="382" t="s">
        <v>412</v>
      </c>
      <c r="G1140" s="316">
        <v>20</v>
      </c>
      <c r="H1140" s="530">
        <f>VLOOKUP(C1140,COMPOSIÇÕES!A:J,6,FALSE)</f>
        <v>46.05</v>
      </c>
      <c r="I1140" s="287">
        <f>COMPOSIÇÕES!$J$99</f>
        <v>55.029749999999993</v>
      </c>
      <c r="J1140" s="384">
        <f t="shared" si="152"/>
        <v>1100.5949999999998</v>
      </c>
    </row>
    <row r="1141" spans="1:10" s="276" customFormat="1" ht="28.8">
      <c r="A1141" s="263"/>
      <c r="B1141" s="381" t="s">
        <v>2080</v>
      </c>
      <c r="C1141" s="382">
        <v>92988</v>
      </c>
      <c r="D1141" s="383" t="str">
        <f t="shared" ref="D1141:D1143" si="155">$D$1140</f>
        <v>SINAPI SP - 08/2023</v>
      </c>
      <c r="E1141" s="344" t="s">
        <v>779</v>
      </c>
      <c r="F1141" s="382" t="s">
        <v>412</v>
      </c>
      <c r="G1141" s="316">
        <v>20</v>
      </c>
      <c r="H1141" s="530">
        <f>VLOOKUP(C1141,COMPOSIÇÕES!A:J,6,FALSE)</f>
        <v>46.05</v>
      </c>
      <c r="I1141" s="287">
        <f>COMPOSIÇÕES!$J$99</f>
        <v>55.029749999999993</v>
      </c>
      <c r="J1141" s="384">
        <f t="shared" si="152"/>
        <v>1100.5949999999998</v>
      </c>
    </row>
    <row r="1142" spans="1:10" s="276" customFormat="1" ht="28.8">
      <c r="A1142" s="263"/>
      <c r="B1142" s="381" t="s">
        <v>2081</v>
      </c>
      <c r="C1142" s="382">
        <v>92988</v>
      </c>
      <c r="D1142" s="383" t="str">
        <f t="shared" si="155"/>
        <v>SINAPI SP - 08/2023</v>
      </c>
      <c r="E1142" s="344" t="s">
        <v>780</v>
      </c>
      <c r="F1142" s="382" t="s">
        <v>412</v>
      </c>
      <c r="G1142" s="316">
        <v>20</v>
      </c>
      <c r="H1142" s="530">
        <f>VLOOKUP(C1142,COMPOSIÇÕES!A:J,6,FALSE)</f>
        <v>46.05</v>
      </c>
      <c r="I1142" s="287">
        <f>COMPOSIÇÕES!$J$99</f>
        <v>55.029749999999993</v>
      </c>
      <c r="J1142" s="384">
        <f t="shared" si="152"/>
        <v>1100.5949999999998</v>
      </c>
    </row>
    <row r="1143" spans="1:10" s="276" customFormat="1" ht="28.8">
      <c r="A1143" s="263"/>
      <c r="B1143" s="381" t="s">
        <v>2082</v>
      </c>
      <c r="C1143" s="382">
        <v>92988</v>
      </c>
      <c r="D1143" s="383" t="str">
        <f t="shared" si="155"/>
        <v>SINAPI SP - 08/2023</v>
      </c>
      <c r="E1143" s="344" t="s">
        <v>847</v>
      </c>
      <c r="F1143" s="382" t="s">
        <v>412</v>
      </c>
      <c r="G1143" s="316">
        <v>20</v>
      </c>
      <c r="H1143" s="530">
        <f>VLOOKUP(C1143,COMPOSIÇÕES!A:J,6,FALSE)</f>
        <v>46.05</v>
      </c>
      <c r="I1143" s="287">
        <f>COMPOSIÇÕES!$J$99</f>
        <v>55.029749999999993</v>
      </c>
      <c r="J1143" s="384">
        <f t="shared" si="152"/>
        <v>1100.5949999999998</v>
      </c>
    </row>
    <row r="1144" spans="1:10" s="276" customFormat="1">
      <c r="A1144" s="263"/>
      <c r="B1144" s="381" t="s">
        <v>2083</v>
      </c>
      <c r="C1144" s="382" t="s">
        <v>711</v>
      </c>
      <c r="D1144" s="383" t="str">
        <f>COMPOSIÇÕES!B103</f>
        <v>FDE - 07/2023</v>
      </c>
      <c r="E1144" s="344" t="s">
        <v>732</v>
      </c>
      <c r="F1144" s="382" t="s">
        <v>431</v>
      </c>
      <c r="G1144" s="316">
        <v>4</v>
      </c>
      <c r="H1144" s="530">
        <f>COMPOSIÇÕES!F103</f>
        <v>22.98</v>
      </c>
      <c r="I1144" s="287">
        <f>COMPOSIÇÕES!$J$103</f>
        <v>27.461100000000002</v>
      </c>
      <c r="J1144" s="384">
        <f t="shared" si="152"/>
        <v>109.84440000000001</v>
      </c>
    </row>
    <row r="1145" spans="1:10" s="276" customFormat="1">
      <c r="A1145" s="263"/>
      <c r="B1145" s="381" t="s">
        <v>2084</v>
      </c>
      <c r="C1145" s="382" t="s">
        <v>711</v>
      </c>
      <c r="D1145" s="383" t="str">
        <f>COMPOSIÇÕES!B144</f>
        <v>FDE - 07/2023</v>
      </c>
      <c r="E1145" s="344" t="s">
        <v>871</v>
      </c>
      <c r="F1145" s="382" t="s">
        <v>431</v>
      </c>
      <c r="G1145" s="316">
        <v>12</v>
      </c>
      <c r="H1145" s="530">
        <f>COMPOSIÇÕES!F144</f>
        <v>28.62</v>
      </c>
      <c r="I1145" s="287">
        <f>COMPOSIÇÕES!$J$144</f>
        <v>34.200900000000004</v>
      </c>
      <c r="J1145" s="384">
        <f t="shared" si="152"/>
        <v>410.41080000000005</v>
      </c>
    </row>
    <row r="1146" spans="1:10" s="276" customFormat="1">
      <c r="A1146" s="263"/>
      <c r="B1146" s="381" t="s">
        <v>2085</v>
      </c>
      <c r="C1146" s="382" t="s">
        <v>711</v>
      </c>
      <c r="D1146" s="383" t="str">
        <f>COMPOSIÇÕES!B104</f>
        <v>FDE - 07/2023</v>
      </c>
      <c r="E1146" s="344" t="s">
        <v>731</v>
      </c>
      <c r="F1146" s="382" t="s">
        <v>431</v>
      </c>
      <c r="G1146" s="316">
        <v>12</v>
      </c>
      <c r="H1146" s="530">
        <f>COMPOSIÇÕES!F104</f>
        <v>34.06</v>
      </c>
      <c r="I1146" s="287">
        <f>COMPOSIÇÕES!$J$104</f>
        <v>40.701700000000002</v>
      </c>
      <c r="J1146" s="384">
        <f t="shared" si="152"/>
        <v>488.42040000000003</v>
      </c>
    </row>
    <row r="1147" spans="1:10" s="263" customFormat="1" ht="72">
      <c r="B1147" s="381" t="s">
        <v>2086</v>
      </c>
      <c r="C1147" s="275" t="s">
        <v>711</v>
      </c>
      <c r="D1147" s="277" t="str">
        <f>COMPOSIÇÕES!B293</f>
        <v>CDHU - BOLETIM 191 + FDE - 07/2023 + SINAPI SP - 08/2023</v>
      </c>
      <c r="E1147" s="278" t="s">
        <v>1022</v>
      </c>
      <c r="F1147" s="275" t="s">
        <v>530</v>
      </c>
      <c r="G1147" s="313">
        <v>1</v>
      </c>
      <c r="H1147" s="301">
        <f>SUM(COMPOSIÇÕES!G294:G300)</f>
        <v>7449.9889941422598</v>
      </c>
      <c r="I1147" s="286">
        <f>COMPOSIÇÕES!$J$293</f>
        <v>8902.7368480000005</v>
      </c>
      <c r="J1147" s="295">
        <f t="shared" si="152"/>
        <v>8902.7368480000005</v>
      </c>
    </row>
    <row r="1148" spans="1:10" s="263" customFormat="1">
      <c r="B1148" s="579" t="s">
        <v>2089</v>
      </c>
      <c r="C1148" s="580"/>
      <c r="D1148" s="580"/>
      <c r="E1148" s="580"/>
      <c r="F1148" s="580"/>
      <c r="G1148" s="580"/>
      <c r="H1148" s="580"/>
      <c r="I1148" s="581"/>
      <c r="J1148" s="296">
        <f>SUM(J1119:J1147)</f>
        <v>43161.516601658543</v>
      </c>
    </row>
    <row r="1149" spans="1:10" s="263" customFormat="1">
      <c r="B1149" s="237" t="s">
        <v>669</v>
      </c>
      <c r="C1149" s="238"/>
      <c r="D1149" s="533"/>
      <c r="E1149" s="239" t="s">
        <v>650</v>
      </c>
      <c r="F1149" s="238"/>
      <c r="G1149" s="312"/>
      <c r="H1149" s="300"/>
      <c r="I1149" s="285"/>
      <c r="J1149" s="294"/>
    </row>
    <row r="1150" spans="1:10" s="276" customFormat="1">
      <c r="A1150" s="263"/>
      <c r="B1150" s="381" t="s">
        <v>670</v>
      </c>
      <c r="C1150" s="382" t="s">
        <v>708</v>
      </c>
      <c r="D1150" s="383" t="str">
        <f>COMPOSIÇÕES!B115</f>
        <v>FDE - 07/2023</v>
      </c>
      <c r="E1150" s="344" t="s">
        <v>651</v>
      </c>
      <c r="F1150" s="382" t="s">
        <v>541</v>
      </c>
      <c r="G1150" s="316">
        <v>100</v>
      </c>
      <c r="H1150" s="290">
        <f>COMPOSIÇÕES!$G$116</f>
        <v>5.116260162601626</v>
      </c>
      <c r="I1150" s="287">
        <f>COMPOSIÇÕES!$J$115</f>
        <v>6.1139308943089432</v>
      </c>
      <c r="J1150" s="384">
        <f>G1150*I1150</f>
        <v>611.39308943089429</v>
      </c>
    </row>
    <row r="1151" spans="1:10" s="263" customFormat="1">
      <c r="B1151" s="579" t="s">
        <v>2090</v>
      </c>
      <c r="C1151" s="580"/>
      <c r="D1151" s="580"/>
      <c r="E1151" s="580"/>
      <c r="F1151" s="580"/>
      <c r="G1151" s="580"/>
      <c r="H1151" s="580"/>
      <c r="I1151" s="581"/>
      <c r="J1151" s="296">
        <f>J1150</f>
        <v>611.39308943089429</v>
      </c>
    </row>
    <row r="1152" spans="1:10" s="263" customFormat="1" ht="25.5" customHeight="1" thickBot="1">
      <c r="B1152" s="564" t="s">
        <v>673</v>
      </c>
      <c r="C1152" s="565"/>
      <c r="D1152" s="565"/>
      <c r="E1152" s="565"/>
      <c r="F1152" s="565"/>
      <c r="G1152" s="565"/>
      <c r="H1152" s="565"/>
      <c r="I1152" s="566"/>
      <c r="J1152" s="297">
        <f>J1096+J1117+J1148+J1151</f>
        <v>127034.51419575445</v>
      </c>
    </row>
    <row r="1153" spans="1:10" s="263" customFormat="1">
      <c r="B1153" s="264" t="s">
        <v>2091</v>
      </c>
      <c r="C1153" s="265"/>
      <c r="D1153" s="534"/>
      <c r="E1153" s="266" t="s">
        <v>529</v>
      </c>
      <c r="F1153" s="265"/>
      <c r="G1153" s="310"/>
      <c r="H1153" s="298"/>
      <c r="I1153" s="283"/>
      <c r="J1153" s="292"/>
    </row>
    <row r="1154" spans="1:10" s="263" customFormat="1" ht="6" customHeight="1">
      <c r="B1154" s="234"/>
      <c r="C1154" s="235"/>
      <c r="D1154" s="532"/>
      <c r="E1154" s="236"/>
      <c r="F1154" s="235"/>
      <c r="G1154" s="311"/>
      <c r="H1154" s="299"/>
      <c r="I1154" s="284"/>
      <c r="J1154" s="293"/>
    </row>
    <row r="1155" spans="1:10" s="263" customFormat="1">
      <c r="B1155" s="237" t="s">
        <v>2092</v>
      </c>
      <c r="C1155" s="238"/>
      <c r="D1155" s="533"/>
      <c r="E1155" s="239" t="s">
        <v>483</v>
      </c>
      <c r="F1155" s="238"/>
      <c r="G1155" s="312"/>
      <c r="H1155" s="300"/>
      <c r="I1155" s="285"/>
      <c r="J1155" s="294"/>
    </row>
    <row r="1156" spans="1:10" s="150" customFormat="1">
      <c r="B1156" s="381" t="s">
        <v>2093</v>
      </c>
      <c r="C1156" s="382" t="str">
        <f t="shared" ref="C1156:I1157" si="156">C1094</f>
        <v>16.06.076</v>
      </c>
      <c r="D1156" s="383" t="str">
        <f t="shared" si="156"/>
        <v>FDE - 07/2023</v>
      </c>
      <c r="E1156" s="344" t="str">
        <f t="shared" si="156"/>
        <v>FORNECIMENTO E INSTALAÇAO DE PLACAS DE OBRA</v>
      </c>
      <c r="F1156" s="382" t="str">
        <f t="shared" si="156"/>
        <v>M²</v>
      </c>
      <c r="G1156" s="316">
        <f t="shared" si="156"/>
        <v>5</v>
      </c>
      <c r="H1156" s="290">
        <f t="shared" si="156"/>
        <v>407.8057</v>
      </c>
      <c r="I1156" s="287">
        <f t="shared" si="156"/>
        <v>487.3278115</v>
      </c>
      <c r="J1156" s="384">
        <f>G1156*I1156</f>
        <v>2436.6390575</v>
      </c>
    </row>
    <row r="1157" spans="1:10" s="150" customFormat="1" ht="28.8">
      <c r="B1157" s="381" t="s">
        <v>2094</v>
      </c>
      <c r="C1157" s="382">
        <f t="shared" si="156"/>
        <v>37524</v>
      </c>
      <c r="D1157" s="383" t="str">
        <f t="shared" si="156"/>
        <v>SINAPI SP - 08/2023</v>
      </c>
      <c r="E1157" s="344" t="str">
        <f t="shared" si="156"/>
        <v>TELA PLASTICA LARANJA, TIPO TAPUME PARA SINALIZACAO, MALHA RETANGULAR, ROLO 1.20 X 50 M (L X C)</v>
      </c>
      <c r="F1157" s="382" t="str">
        <f t="shared" si="156"/>
        <v>M²</v>
      </c>
      <c r="G1157" s="316">
        <f t="shared" si="156"/>
        <v>40</v>
      </c>
      <c r="H1157" s="290">
        <f t="shared" si="156"/>
        <v>2</v>
      </c>
      <c r="I1157" s="287">
        <f t="shared" si="156"/>
        <v>2.39</v>
      </c>
      <c r="J1157" s="384">
        <f>G1157*I1157</f>
        <v>95.600000000000009</v>
      </c>
    </row>
    <row r="1158" spans="1:10" s="263" customFormat="1">
      <c r="B1158" s="579" t="s">
        <v>2155</v>
      </c>
      <c r="C1158" s="580"/>
      <c r="D1158" s="580"/>
      <c r="E1158" s="580"/>
      <c r="F1158" s="580"/>
      <c r="G1158" s="580"/>
      <c r="H1158" s="580"/>
      <c r="I1158" s="581"/>
      <c r="J1158" s="296">
        <f>SUM(J1156:J1157)</f>
        <v>2532.2390574999999</v>
      </c>
    </row>
    <row r="1159" spans="1:10" s="263" customFormat="1">
      <c r="B1159" s="237" t="s">
        <v>2095</v>
      </c>
      <c r="C1159" s="238"/>
      <c r="D1159" s="533"/>
      <c r="E1159" s="239" t="s">
        <v>525</v>
      </c>
      <c r="F1159" s="238"/>
      <c r="G1159" s="312"/>
      <c r="H1159" s="300"/>
      <c r="I1159" s="285"/>
      <c r="J1159" s="294"/>
    </row>
    <row r="1160" spans="1:10" s="276" customFormat="1" ht="28.8">
      <c r="B1160" s="381" t="s">
        <v>2096</v>
      </c>
      <c r="C1160" s="382" t="s">
        <v>711</v>
      </c>
      <c r="D1160" s="383" t="str">
        <f>COMPOSIÇÕES!B10</f>
        <v>SINAPI SP - 08/2023</v>
      </c>
      <c r="E1160" s="487" t="s">
        <v>2404</v>
      </c>
      <c r="F1160" s="382" t="s">
        <v>431</v>
      </c>
      <c r="G1160" s="315">
        <v>32</v>
      </c>
      <c r="H1160" s="290">
        <f>SUM(COMPOSIÇÕES!G11:G13)</f>
        <v>328.17395199999999</v>
      </c>
      <c r="I1160" s="287">
        <f>SUM(COMPOSIÇÕES!J10)</f>
        <v>392.16787263999993</v>
      </c>
      <c r="J1160" s="384">
        <f t="shared" ref="J1160:J1174" si="157">G1160*I1160</f>
        <v>12549.371924479998</v>
      </c>
    </row>
    <row r="1161" spans="1:10" s="150" customFormat="1" ht="86.4">
      <c r="B1161" s="381" t="s">
        <v>2097</v>
      </c>
      <c r="C1161" s="382" t="s">
        <v>711</v>
      </c>
      <c r="D1161" s="383" t="str">
        <f>COMPOSIÇÕES!B14</f>
        <v>SINAPI SP - 08/2023</v>
      </c>
      <c r="E1161" s="344" t="s">
        <v>754</v>
      </c>
      <c r="F1161" s="382" t="s">
        <v>412</v>
      </c>
      <c r="G1161" s="317">
        <v>20</v>
      </c>
      <c r="H1161" s="290">
        <f>SUM(COMPOSIÇÕES!G15:G18)</f>
        <v>37.264400000000002</v>
      </c>
      <c r="I1161" s="287">
        <f>COMPOSIÇÕES!$J$14</f>
        <v>44.530958000000005</v>
      </c>
      <c r="J1161" s="384">
        <f t="shared" si="157"/>
        <v>890.61916000000008</v>
      </c>
    </row>
    <row r="1162" spans="1:10" s="150" customFormat="1" ht="86.4">
      <c r="B1162" s="381" t="s">
        <v>2098</v>
      </c>
      <c r="C1162" s="382" t="s">
        <v>711</v>
      </c>
      <c r="D1162" s="383" t="str">
        <f>COMPOSIÇÕES!B19</f>
        <v>SINAPI SP - 08/2023</v>
      </c>
      <c r="E1162" s="344" t="s">
        <v>755</v>
      </c>
      <c r="F1162" s="382" t="s">
        <v>412</v>
      </c>
      <c r="G1162" s="317">
        <v>20</v>
      </c>
      <c r="H1162" s="290">
        <f>SUM(COMPOSIÇÕES!G20:G23)</f>
        <v>69.234999999999985</v>
      </c>
      <c r="I1162" s="287">
        <f>COMPOSIÇÕES!$J$19</f>
        <v>82.735824999999991</v>
      </c>
      <c r="J1162" s="384">
        <f t="shared" si="157"/>
        <v>1654.7164999999998</v>
      </c>
    </row>
    <row r="1163" spans="1:10" s="150" customFormat="1" ht="86.4">
      <c r="B1163" s="381" t="s">
        <v>2099</v>
      </c>
      <c r="C1163" s="382" t="s">
        <v>711</v>
      </c>
      <c r="D1163" s="383" t="str">
        <f>COMPOSIÇÕES!B117</f>
        <v>SINAPI SP - 08/2023</v>
      </c>
      <c r="E1163" s="344" t="s">
        <v>804</v>
      </c>
      <c r="F1163" s="382" t="s">
        <v>412</v>
      </c>
      <c r="G1163" s="317">
        <v>51</v>
      </c>
      <c r="H1163" s="290">
        <f>SUM(COMPOSIÇÕES!G118:G121)</f>
        <v>94.308000000000007</v>
      </c>
      <c r="I1163" s="287">
        <f>COMPOSIÇÕES!$J$117</f>
        <v>112.69806</v>
      </c>
      <c r="J1163" s="384">
        <f t="shared" si="157"/>
        <v>5747.60106</v>
      </c>
    </row>
    <row r="1164" spans="1:10" s="150" customFormat="1" ht="86.4">
      <c r="B1164" s="381" t="s">
        <v>2100</v>
      </c>
      <c r="C1164" s="382" t="s">
        <v>711</v>
      </c>
      <c r="D1164" s="383" t="str">
        <f>COMPOSIÇÕES!B24</f>
        <v>SINAPI SP - 08/2023</v>
      </c>
      <c r="E1164" s="344" t="s">
        <v>747</v>
      </c>
      <c r="F1164" s="382" t="s">
        <v>412</v>
      </c>
      <c r="G1164" s="317">
        <v>90</v>
      </c>
      <c r="H1164" s="290">
        <f>SUM(COMPOSIÇÕES!G25:G28)</f>
        <v>53.322000000000003</v>
      </c>
      <c r="I1164" s="287">
        <f>COMPOSIÇÕES!$J$24</f>
        <v>63.719789999999996</v>
      </c>
      <c r="J1164" s="384">
        <f t="shared" si="157"/>
        <v>5734.7810999999992</v>
      </c>
    </row>
    <row r="1165" spans="1:10" s="393" customFormat="1" ht="86.4">
      <c r="A1165" s="150"/>
      <c r="B1165" s="381" t="s">
        <v>2101</v>
      </c>
      <c r="C1165" s="394" t="s">
        <v>711</v>
      </c>
      <c r="D1165" s="389" t="str">
        <f>COMPOSIÇÕES!B29</f>
        <v xml:space="preserve">SINAPI SP - 08/2023 </v>
      </c>
      <c r="E1165" s="395" t="s">
        <v>748</v>
      </c>
      <c r="F1165" s="394" t="s">
        <v>412</v>
      </c>
      <c r="G1165" s="315">
        <v>39</v>
      </c>
      <c r="H1165" s="392">
        <f>SUM(COMPOSIÇÕES!G30:G33)</f>
        <v>85.438000000000002</v>
      </c>
      <c r="I1165" s="396">
        <f>COMPOSIÇÕES!$J$29</f>
        <v>102.09840999999999</v>
      </c>
      <c r="J1165" s="397">
        <f t="shared" si="157"/>
        <v>3981.8379899999995</v>
      </c>
    </row>
    <row r="1166" spans="1:10" s="393" customFormat="1" ht="28.8">
      <c r="A1166" s="150"/>
      <c r="B1166" s="381" t="s">
        <v>2102</v>
      </c>
      <c r="C1166" s="394" t="str">
        <f t="shared" ref="C1166:I1166" si="158">C1103</f>
        <v>22.02.030</v>
      </c>
      <c r="D1166" s="389" t="str">
        <f t="shared" si="158"/>
        <v>CDHU - BOLETIM 191</v>
      </c>
      <c r="E1166" s="395" t="str">
        <f t="shared" si="158"/>
        <v>Forro em painéis de gesso acartonado, espessura de 12,5mm, fixo</v>
      </c>
      <c r="F1166" s="394" t="str">
        <f t="shared" si="158"/>
        <v>M²</v>
      </c>
      <c r="G1166" s="315">
        <f>6.4*0.55*2*17</f>
        <v>119.68000000000002</v>
      </c>
      <c r="H1166" s="392">
        <f t="shared" si="158"/>
        <v>99.47</v>
      </c>
      <c r="I1166" s="396">
        <f t="shared" si="158"/>
        <v>118.86664999999999</v>
      </c>
      <c r="J1166" s="397">
        <f t="shared" si="157"/>
        <v>14225.960672000001</v>
      </c>
    </row>
    <row r="1167" spans="1:10" s="150" customFormat="1" ht="57.6">
      <c r="B1167" s="381" t="s">
        <v>2103</v>
      </c>
      <c r="C1167" s="382" t="s">
        <v>711</v>
      </c>
      <c r="D1167" s="383" t="str">
        <f>COMPOSIÇÕES!B36</f>
        <v xml:space="preserve">SINAPI SP - 08/2023 </v>
      </c>
      <c r="E1167" s="398" t="s">
        <v>756</v>
      </c>
      <c r="F1167" s="382" t="s">
        <v>413</v>
      </c>
      <c r="G1167" s="315">
        <v>760</v>
      </c>
      <c r="H1167" s="287">
        <f>SUM(COMPOSIÇÕES!G37:G39)</f>
        <v>84.94</v>
      </c>
      <c r="I1167" s="287">
        <f>COMPOSIÇÕES!$J$36</f>
        <v>101.5033</v>
      </c>
      <c r="J1167" s="384">
        <f t="shared" si="157"/>
        <v>77142.508000000002</v>
      </c>
    </row>
    <row r="1168" spans="1:10" s="335" customFormat="1" ht="28.8">
      <c r="A1168" s="150"/>
      <c r="B1168" s="381" t="s">
        <v>2104</v>
      </c>
      <c r="C1168" s="382" t="s">
        <v>711</v>
      </c>
      <c r="D1168" s="383" t="str">
        <f>COMPOSIÇÕES!B44</f>
        <v>CDHU - BOLETIM 191</v>
      </c>
      <c r="E1168" s="388" t="s">
        <v>1042</v>
      </c>
      <c r="F1168" s="382" t="s">
        <v>431</v>
      </c>
      <c r="G1168" s="315">
        <v>14</v>
      </c>
      <c r="H1168" s="287">
        <f>SUM(COMPOSIÇÕES!G45)</f>
        <v>248.91654375000002</v>
      </c>
      <c r="I1168" s="287">
        <f>COMPOSIÇÕES!$J$44</f>
        <v>297.45526978125002</v>
      </c>
      <c r="J1168" s="384">
        <f t="shared" si="157"/>
        <v>4164.3737769375002</v>
      </c>
    </row>
    <row r="1169" spans="1:10" s="335" customFormat="1" ht="28.8">
      <c r="A1169" s="150"/>
      <c r="B1169" s="381" t="s">
        <v>2105</v>
      </c>
      <c r="C1169" s="382" t="s">
        <v>711</v>
      </c>
      <c r="D1169" s="383" t="str">
        <f>COMPOSIÇÕES!B46</f>
        <v>CDHU - BOLETIM 191</v>
      </c>
      <c r="E1169" s="388" t="s">
        <v>1043</v>
      </c>
      <c r="F1169" s="382" t="s">
        <v>431</v>
      </c>
      <c r="G1169" s="315">
        <v>2</v>
      </c>
      <c r="H1169" s="287">
        <f>COMPOSIÇÕES!G47</f>
        <v>49.947131250000005</v>
      </c>
      <c r="I1169" s="287">
        <f>COMPOSIÇÕES!$J$46</f>
        <v>59.68682184375001</v>
      </c>
      <c r="J1169" s="384">
        <f t="shared" si="157"/>
        <v>119.37364368750002</v>
      </c>
    </row>
    <row r="1170" spans="1:10" s="335" customFormat="1" ht="28.8">
      <c r="A1170" s="150"/>
      <c r="B1170" s="381" t="s">
        <v>2106</v>
      </c>
      <c r="C1170" s="382" t="s">
        <v>711</v>
      </c>
      <c r="D1170" s="383" t="str">
        <f>COMPOSIÇÕES!B48</f>
        <v>CDHU - BOLETIM 191</v>
      </c>
      <c r="E1170" s="388" t="s">
        <v>1044</v>
      </c>
      <c r="F1170" s="382" t="s">
        <v>431</v>
      </c>
      <c r="G1170" s="315">
        <v>1</v>
      </c>
      <c r="H1170" s="287">
        <f>COMPOSIÇÕES!G49</f>
        <v>82.875240000000005</v>
      </c>
      <c r="I1170" s="287">
        <f>COMPOSIÇÕES!$J$48</f>
        <v>99.035911800000008</v>
      </c>
      <c r="J1170" s="384">
        <f t="shared" si="157"/>
        <v>99.035911800000008</v>
      </c>
    </row>
    <row r="1171" spans="1:10" s="150" customFormat="1" ht="28.8">
      <c r="B1171" s="381" t="s">
        <v>2107</v>
      </c>
      <c r="C1171" s="382" t="s">
        <v>711</v>
      </c>
      <c r="D1171" s="383" t="str">
        <f>COMPOSIÇÕES!B124</f>
        <v>CDHU - BOLETIM 191</v>
      </c>
      <c r="E1171" s="388" t="s">
        <v>809</v>
      </c>
      <c r="F1171" s="382" t="s">
        <v>431</v>
      </c>
      <c r="G1171" s="317">
        <v>1</v>
      </c>
      <c r="H1171" s="287">
        <f>SUM(COMPOSIÇÕES!$G$123:$G$123)</f>
        <v>33.890000000000008</v>
      </c>
      <c r="I1171" s="287">
        <f>COMPOSIÇÕES!$J$122</f>
        <v>40.498550000000009</v>
      </c>
      <c r="J1171" s="384">
        <f t="shared" si="157"/>
        <v>40.498550000000009</v>
      </c>
    </row>
    <row r="1172" spans="1:10" s="150" customFormat="1" ht="28.8">
      <c r="B1172" s="381" t="s">
        <v>2108</v>
      </c>
      <c r="C1172" s="382" t="s">
        <v>711</v>
      </c>
      <c r="D1172" s="383" t="str">
        <f>COMPOSIÇÕES!B124</f>
        <v>CDHU - BOLETIM 191</v>
      </c>
      <c r="E1172" s="388" t="s">
        <v>1119</v>
      </c>
      <c r="F1172" s="382" t="s">
        <v>431</v>
      </c>
      <c r="G1172" s="317">
        <v>14</v>
      </c>
      <c r="H1172" s="287">
        <f>SUM(COMPOSIÇÕES!$G$125:$G$125)</f>
        <v>203.34</v>
      </c>
      <c r="I1172" s="287">
        <f>COMPOSIÇÕES!$J$124</f>
        <v>242.9913</v>
      </c>
      <c r="J1172" s="384">
        <f t="shared" si="157"/>
        <v>3401.8782000000001</v>
      </c>
    </row>
    <row r="1173" spans="1:10" s="150" customFormat="1" ht="28.8">
      <c r="B1173" s="381" t="s">
        <v>2109</v>
      </c>
      <c r="C1173" s="382" t="s">
        <v>711</v>
      </c>
      <c r="D1173" s="383" t="str">
        <f>COMPOSIÇÕES!B56</f>
        <v>CDHU - BOLETIM 191</v>
      </c>
      <c r="E1173" s="388" t="s">
        <v>1117</v>
      </c>
      <c r="F1173" s="382" t="s">
        <v>431</v>
      </c>
      <c r="G1173" s="315">
        <v>2</v>
      </c>
      <c r="H1173" s="287">
        <f>COMPOSIÇÕES!G57</f>
        <v>16.945000000000004</v>
      </c>
      <c r="I1173" s="287">
        <f>COMPOSIÇÕES!$J$56</f>
        <v>20.249275000000004</v>
      </c>
      <c r="J1173" s="384">
        <f t="shared" si="157"/>
        <v>40.498550000000009</v>
      </c>
    </row>
    <row r="1174" spans="1:10" s="150" customFormat="1" ht="28.8">
      <c r="A1174" s="271"/>
      <c r="B1174" s="381" t="s">
        <v>2110</v>
      </c>
      <c r="C1174" s="382" t="s">
        <v>711</v>
      </c>
      <c r="D1174" s="383" t="str">
        <f>COMPOSIÇÕES!B58</f>
        <v xml:space="preserve">SINAPI SP - 08/2023 </v>
      </c>
      <c r="E1174" s="388" t="s">
        <v>758</v>
      </c>
      <c r="F1174" s="382" t="s">
        <v>412</v>
      </c>
      <c r="G1174" s="315">
        <v>165</v>
      </c>
      <c r="H1174" s="287">
        <f>SUM(COMPOSIÇÕES!G59:G61)</f>
        <v>31.499000000000002</v>
      </c>
      <c r="I1174" s="287">
        <f>COMPOSIÇÕES!$J$58</f>
        <v>37.641304999999996</v>
      </c>
      <c r="J1174" s="384">
        <f t="shared" si="157"/>
        <v>6210.8153249999996</v>
      </c>
    </row>
    <row r="1175" spans="1:10" s="150" customFormat="1" ht="28.8">
      <c r="A1175" s="271"/>
      <c r="B1175" s="381" t="s">
        <v>2111</v>
      </c>
      <c r="C1175" s="382" t="s">
        <v>711</v>
      </c>
      <c r="D1175" s="383" t="str">
        <f>COMPOSIÇÕES!B64</f>
        <v>SINAPI SP - 08/2023</v>
      </c>
      <c r="E1175" s="388" t="s">
        <v>697</v>
      </c>
      <c r="F1175" s="382" t="s">
        <v>431</v>
      </c>
      <c r="G1175" s="315">
        <v>32</v>
      </c>
      <c r="H1175" s="287">
        <f>SUM(COMPOSIÇÕES!$G$65:$G$67)</f>
        <v>92.32</v>
      </c>
      <c r="I1175" s="287">
        <f>COMPOSIÇÕES!$J$64</f>
        <v>110.32240000000002</v>
      </c>
      <c r="J1175" s="384">
        <f>I1175*G1175</f>
        <v>3530.3168000000005</v>
      </c>
    </row>
    <row r="1176" spans="1:10" s="150" customFormat="1" ht="28.8">
      <c r="A1176" s="271"/>
      <c r="B1176" s="381" t="s">
        <v>2112</v>
      </c>
      <c r="C1176" s="382" t="s">
        <v>711</v>
      </c>
      <c r="D1176" s="383" t="str">
        <f>COMPOSIÇÕES!B68</f>
        <v xml:space="preserve">SINAPI SP - 08/2023 </v>
      </c>
      <c r="E1176" s="388" t="s">
        <v>762</v>
      </c>
      <c r="F1176" s="382" t="s">
        <v>415</v>
      </c>
      <c r="G1176" s="315">
        <v>8</v>
      </c>
      <c r="H1176" s="287">
        <f>SUM(COMPOSIÇÕES!$G$69:$G$70)</f>
        <v>58.91</v>
      </c>
      <c r="I1176" s="287">
        <f>COMPOSIÇÕES!$J$68</f>
        <v>70.397449999999992</v>
      </c>
      <c r="J1176" s="384">
        <f>I1176*G1176</f>
        <v>563.17959999999994</v>
      </c>
    </row>
    <row r="1177" spans="1:10" s="150" customFormat="1" ht="28.8">
      <c r="A1177" s="271"/>
      <c r="B1177" s="381" t="s">
        <v>2113</v>
      </c>
      <c r="C1177" s="399" t="s">
        <v>763</v>
      </c>
      <c r="D1177" s="273" t="str">
        <f>COMPOSIÇÕES!B71</f>
        <v xml:space="preserve">SINAPI SP - 08/2023 </v>
      </c>
      <c r="E1177" s="400" t="s">
        <v>761</v>
      </c>
      <c r="F1177" s="273" t="s">
        <v>541</v>
      </c>
      <c r="G1177" s="316">
        <v>2</v>
      </c>
      <c r="H1177" s="287">
        <f>SUM(COMPOSIÇÕES!$G$72:$G$72)</f>
        <v>28.8</v>
      </c>
      <c r="I1177" s="287">
        <f>COMPOSIÇÕES!$J$71</f>
        <v>34.416000000000004</v>
      </c>
      <c r="J1177" s="384">
        <f>I1177*G1177</f>
        <v>68.832000000000008</v>
      </c>
    </row>
    <row r="1178" spans="1:10" s="150" customFormat="1">
      <c r="A1178" s="271"/>
      <c r="B1178" s="381" t="s">
        <v>2421</v>
      </c>
      <c r="C1178" s="399" t="s">
        <v>759</v>
      </c>
      <c r="D1178" s="273" t="str">
        <f>COMPOSIÇÕES!B73</f>
        <v>FDE - 07/2023</v>
      </c>
      <c r="E1178" s="400" t="s">
        <v>760</v>
      </c>
      <c r="F1178" s="273" t="s">
        <v>701</v>
      </c>
      <c r="G1178" s="316">
        <v>1</v>
      </c>
      <c r="H1178" s="530">
        <f>VLOOKUP(C1178,COMPOSIÇÕES!A:J,6,FALSE)</f>
        <v>38.485355648535567</v>
      </c>
      <c r="I1178" s="287">
        <f>COMPOSIÇÕES!$J$73</f>
        <v>45.99</v>
      </c>
      <c r="J1178" s="384">
        <f>I1178*G1178</f>
        <v>45.99</v>
      </c>
    </row>
    <row r="1179" spans="1:10" s="150" customFormat="1">
      <c r="A1179" s="271"/>
      <c r="B1179" s="381" t="s">
        <v>2453</v>
      </c>
      <c r="C1179" s="399" t="s">
        <v>764</v>
      </c>
      <c r="D1179" s="273" t="str">
        <f>COMPOSIÇÕES!B74</f>
        <v>FDE - 07/2023</v>
      </c>
      <c r="E1179" s="400" t="s">
        <v>765</v>
      </c>
      <c r="F1179" s="273" t="s">
        <v>541</v>
      </c>
      <c r="G1179" s="316">
        <v>3</v>
      </c>
      <c r="H1179" s="530">
        <f>VLOOKUP(C1179,COMPOSIÇÕES!A:J,6,FALSE)</f>
        <v>210.81171548117152</v>
      </c>
      <c r="I1179" s="287">
        <f>COMPOSIÇÕES!$J$74</f>
        <v>251.91999999999996</v>
      </c>
      <c r="J1179" s="384">
        <f>I1179*G1179</f>
        <v>755.75999999999988</v>
      </c>
    </row>
    <row r="1180" spans="1:10" s="263" customFormat="1">
      <c r="B1180" s="579" t="s">
        <v>2156</v>
      </c>
      <c r="C1180" s="580"/>
      <c r="D1180" s="580"/>
      <c r="E1180" s="580"/>
      <c r="F1180" s="580"/>
      <c r="G1180" s="580"/>
      <c r="H1180" s="580"/>
      <c r="I1180" s="581"/>
      <c r="J1180" s="296">
        <f>SUM(J1160:J1179)</f>
        <v>140967.94876390501</v>
      </c>
    </row>
    <row r="1181" spans="1:10" s="263" customFormat="1">
      <c r="B1181" s="237" t="s">
        <v>2114</v>
      </c>
      <c r="C1181" s="238"/>
      <c r="D1181" s="533"/>
      <c r="E1181" s="239" t="s">
        <v>526</v>
      </c>
      <c r="F1181" s="259"/>
      <c r="G1181" s="318"/>
      <c r="H1181" s="300"/>
      <c r="I1181" s="285"/>
      <c r="J1181" s="294"/>
    </row>
    <row r="1182" spans="1:10" s="276" customFormat="1">
      <c r="A1182" s="263"/>
      <c r="B1182" s="381" t="s">
        <v>2115</v>
      </c>
      <c r="C1182" s="382" t="s">
        <v>711</v>
      </c>
      <c r="D1182" s="383" t="str">
        <f>COMPOSIÇÕES!B75</f>
        <v>FDE - 07/2023</v>
      </c>
      <c r="E1182" s="344" t="s">
        <v>745</v>
      </c>
      <c r="F1182" s="382" t="s">
        <v>431</v>
      </c>
      <c r="G1182" s="316">
        <v>100</v>
      </c>
      <c r="H1182" s="290">
        <f>SUM(COMPOSIÇÕES!G76:G78)</f>
        <v>34.013252032520327</v>
      </c>
      <c r="I1182" s="287">
        <f>COMPOSIÇÕES!$J$75</f>
        <v>40.645836178861792</v>
      </c>
      <c r="J1182" s="384">
        <f t="shared" ref="J1182:J1216" si="159">G1182*I1182</f>
        <v>4064.5836178861791</v>
      </c>
    </row>
    <row r="1183" spans="1:10" s="276" customFormat="1" ht="43.2">
      <c r="A1183" s="263"/>
      <c r="B1183" s="381" t="s">
        <v>2116</v>
      </c>
      <c r="C1183" s="382" t="s">
        <v>711</v>
      </c>
      <c r="D1183" s="383" t="str">
        <f>COMPOSIÇÕES!B79</f>
        <v>FDE - 07/2023 + SINAPI SP - 08/2023</v>
      </c>
      <c r="E1183" s="344" t="s">
        <v>742</v>
      </c>
      <c r="F1183" s="382" t="s">
        <v>431</v>
      </c>
      <c r="G1183" s="316">
        <v>1</v>
      </c>
      <c r="H1183" s="290">
        <f>SUM(COMPOSIÇÕES!G80:G82)</f>
        <v>6.9960000000000004</v>
      </c>
      <c r="I1183" s="287">
        <f>COMPOSIÇÕES!$J$79</f>
        <v>8.36022</v>
      </c>
      <c r="J1183" s="384">
        <f t="shared" si="159"/>
        <v>8.36022</v>
      </c>
    </row>
    <row r="1184" spans="1:10" s="276" customFormat="1" ht="28.8">
      <c r="A1184" s="263"/>
      <c r="B1184" s="381" t="s">
        <v>2117</v>
      </c>
      <c r="C1184" s="382" t="s">
        <v>711</v>
      </c>
      <c r="D1184" s="383" t="str">
        <f>COMPOSIÇÕES!B136</f>
        <v>FDE - 07/2023</v>
      </c>
      <c r="E1184" s="344" t="s">
        <v>816</v>
      </c>
      <c r="F1184" s="382" t="s">
        <v>431</v>
      </c>
      <c r="G1184" s="316">
        <v>3</v>
      </c>
      <c r="H1184" s="290">
        <f>SUM(COMPOSIÇÕES!G137:G139)</f>
        <v>28.625999999999998</v>
      </c>
      <c r="I1184" s="287">
        <f>COMPOSIÇÕES!$J$136</f>
        <v>34.208069999999999</v>
      </c>
      <c r="J1184" s="384">
        <f t="shared" si="159"/>
        <v>102.62421000000001</v>
      </c>
    </row>
    <row r="1185" spans="1:10" s="276" customFormat="1">
      <c r="A1185" s="263"/>
      <c r="B1185" s="381" t="s">
        <v>2118</v>
      </c>
      <c r="C1185" s="382" t="s">
        <v>739</v>
      </c>
      <c r="D1185" s="383" t="str">
        <f>COMPOSIÇÕES!B83</f>
        <v>FDE - 07/2023</v>
      </c>
      <c r="E1185" s="344" t="s">
        <v>766</v>
      </c>
      <c r="F1185" s="382" t="s">
        <v>431</v>
      </c>
      <c r="G1185" s="316">
        <v>9</v>
      </c>
      <c r="H1185" s="530">
        <f>VLOOKUP(C1185,COMPOSIÇÕES!A:J,6,FALSE)</f>
        <v>32.35146443514644</v>
      </c>
      <c r="I1185" s="287">
        <f>COMPOSIÇÕES!$J$83</f>
        <v>38.659999999999997</v>
      </c>
      <c r="J1185" s="384">
        <f t="shared" si="159"/>
        <v>347.93999999999994</v>
      </c>
    </row>
    <row r="1186" spans="1:10" s="276" customFormat="1">
      <c r="A1186" s="263"/>
      <c r="B1186" s="381" t="s">
        <v>2119</v>
      </c>
      <c r="C1186" s="382" t="s">
        <v>739</v>
      </c>
      <c r="D1186" s="383" t="str">
        <f t="shared" ref="D1186:D1187" si="160">$D$1185</f>
        <v>FDE - 07/2023</v>
      </c>
      <c r="E1186" s="344" t="s">
        <v>767</v>
      </c>
      <c r="F1186" s="382" t="s">
        <v>431</v>
      </c>
      <c r="G1186" s="316">
        <v>40</v>
      </c>
      <c r="H1186" s="530">
        <f>VLOOKUP(C1186,COMPOSIÇÕES!A:J,6,FALSE)</f>
        <v>32.35146443514644</v>
      </c>
      <c r="I1186" s="287">
        <f>COMPOSIÇÕES!$J$83</f>
        <v>38.659999999999997</v>
      </c>
      <c r="J1186" s="384">
        <f t="shared" si="159"/>
        <v>1546.3999999999999</v>
      </c>
    </row>
    <row r="1187" spans="1:10" s="276" customFormat="1">
      <c r="A1187" s="263"/>
      <c r="B1187" s="381" t="s">
        <v>2120</v>
      </c>
      <c r="C1187" s="382" t="s">
        <v>739</v>
      </c>
      <c r="D1187" s="383" t="str">
        <f t="shared" si="160"/>
        <v>FDE - 07/2023</v>
      </c>
      <c r="E1187" s="344" t="s">
        <v>768</v>
      </c>
      <c r="F1187" s="382" t="s">
        <v>431</v>
      </c>
      <c r="G1187" s="316">
        <v>12</v>
      </c>
      <c r="H1187" s="530">
        <f>VLOOKUP(C1187,COMPOSIÇÕES!A:J,6,FALSE)</f>
        <v>32.35146443514644</v>
      </c>
      <c r="I1187" s="287">
        <f>COMPOSIÇÕES!$J$83</f>
        <v>38.659999999999997</v>
      </c>
      <c r="J1187" s="384">
        <f t="shared" si="159"/>
        <v>463.91999999999996</v>
      </c>
    </row>
    <row r="1188" spans="1:10" s="276" customFormat="1">
      <c r="A1188" s="263"/>
      <c r="B1188" s="381" t="s">
        <v>2121</v>
      </c>
      <c r="C1188" s="382" t="s">
        <v>738</v>
      </c>
      <c r="D1188" s="383" t="str">
        <f>COMPOSIÇÕES!B84</f>
        <v>FDE - 07/2023</v>
      </c>
      <c r="E1188" s="344" t="s">
        <v>769</v>
      </c>
      <c r="F1188" s="382" t="s">
        <v>431</v>
      </c>
      <c r="G1188" s="316">
        <v>1</v>
      </c>
      <c r="H1188" s="530">
        <f>VLOOKUP(C1188,COMPOSIÇÕES!A:J,6,FALSE)</f>
        <v>37.087866108786606</v>
      </c>
      <c r="I1188" s="287">
        <f>COMPOSIÇÕES!$J$84</f>
        <v>44.319999999999993</v>
      </c>
      <c r="J1188" s="384">
        <f t="shared" si="159"/>
        <v>44.319999999999993</v>
      </c>
    </row>
    <row r="1189" spans="1:10" s="276" customFormat="1" ht="43.2">
      <c r="A1189" s="263"/>
      <c r="B1189" s="381" t="s">
        <v>2122</v>
      </c>
      <c r="C1189" s="382" t="s">
        <v>711</v>
      </c>
      <c r="D1189" s="383" t="str">
        <f>COMPOSIÇÕES!B233</f>
        <v>SINAPI SP - 08/2023</v>
      </c>
      <c r="E1189" s="344" t="s">
        <v>831</v>
      </c>
      <c r="F1189" s="382" t="s">
        <v>431</v>
      </c>
      <c r="G1189" s="316">
        <v>2</v>
      </c>
      <c r="H1189" s="290">
        <f>SUM(COMPOSIÇÕES!G234:G236)</f>
        <v>42.53</v>
      </c>
      <c r="I1189" s="287">
        <f>COMPOSIÇÕES!$J$233</f>
        <v>50.823350000000005</v>
      </c>
      <c r="J1189" s="384">
        <f t="shared" si="159"/>
        <v>101.64670000000001</v>
      </c>
    </row>
    <row r="1190" spans="1:10" s="276" customFormat="1" ht="43.2">
      <c r="A1190" s="263"/>
      <c r="B1190" s="381" t="s">
        <v>2123</v>
      </c>
      <c r="C1190" s="382" t="s">
        <v>711</v>
      </c>
      <c r="D1190" s="383" t="str">
        <f>COMPOSIÇÕES!B85</f>
        <v>FDE - 07/2023 + SINAPI SP - 08/2023</v>
      </c>
      <c r="E1190" s="344" t="s">
        <v>737</v>
      </c>
      <c r="F1190" s="382" t="s">
        <v>431</v>
      </c>
      <c r="G1190" s="316">
        <v>3</v>
      </c>
      <c r="H1190" s="290">
        <f>SUM(COMPOSIÇÕES!G86:G88)</f>
        <v>187.64000000000001</v>
      </c>
      <c r="I1190" s="287">
        <f>COMPOSIÇÕES!$J$85</f>
        <v>224.22980000000001</v>
      </c>
      <c r="J1190" s="384">
        <f t="shared" si="159"/>
        <v>672.68939999999998</v>
      </c>
    </row>
    <row r="1191" spans="1:10" s="276" customFormat="1">
      <c r="B1191" s="381" t="s">
        <v>2124</v>
      </c>
      <c r="C1191" s="382" t="s">
        <v>735</v>
      </c>
      <c r="D1191" s="383" t="s">
        <v>2474</v>
      </c>
      <c r="E1191" s="344" t="s">
        <v>736</v>
      </c>
      <c r="F1191" s="382" t="s">
        <v>431</v>
      </c>
      <c r="G1191" s="316">
        <v>160</v>
      </c>
      <c r="H1191" s="530">
        <f>VLOOKUP(C1191,COMPOSIÇÕES!A:J,6,FALSE)</f>
        <v>7.8158995815899575</v>
      </c>
      <c r="I1191" s="287">
        <f>COMPOSIÇÕES!$J$89</f>
        <v>9.34</v>
      </c>
      <c r="J1191" s="384">
        <f t="shared" si="159"/>
        <v>1494.4</v>
      </c>
    </row>
    <row r="1192" spans="1:10" s="276" customFormat="1" ht="28.8">
      <c r="A1192" s="263"/>
      <c r="B1192" s="381" t="s">
        <v>2125</v>
      </c>
      <c r="C1192" s="383" t="str">
        <f>COMPOSIÇÕES!A91</f>
        <v>38.21.920</v>
      </c>
      <c r="D1192" s="383" t="str">
        <f>COMPOSIÇÕES!B91</f>
        <v>CDHU - BOLETIM 191</v>
      </c>
      <c r="E1192" s="388" t="str">
        <f>COMPOSIÇÕES!C91</f>
        <v>Eletrocalha perfurada galvanizada a fogo, 100 x 50 mm, com acessórios</v>
      </c>
      <c r="F1192" s="382" t="s">
        <v>412</v>
      </c>
      <c r="G1192" s="316">
        <f>26*3</f>
        <v>78</v>
      </c>
      <c r="H1192" s="530">
        <f>VLOOKUP(C1192,COMPOSIÇÕES!A:J,6,FALSE)</f>
        <v>98.38</v>
      </c>
      <c r="I1192" s="287">
        <f>COMPOSIÇÕES!$J$91</f>
        <v>117.5641</v>
      </c>
      <c r="J1192" s="384">
        <f t="shared" si="159"/>
        <v>9169.9997999999996</v>
      </c>
    </row>
    <row r="1193" spans="1:10" s="276" customFormat="1" ht="28.8">
      <c r="A1193" s="263"/>
      <c r="B1193" s="381" t="s">
        <v>2126</v>
      </c>
      <c r="C1193" s="383" t="str">
        <f>COMPOSIÇÕES!A141</f>
        <v>38.21.140</v>
      </c>
      <c r="D1193" s="383" t="str">
        <f>COMPOSIÇÕES!B141</f>
        <v>CDHU - BOLETIM 191</v>
      </c>
      <c r="E1193" s="388" t="str">
        <f>COMPOSIÇÕES!C141</f>
        <v>Eletrocalha lisa galvanizada a fogo, 200 x 50 mm, com acessórios</v>
      </c>
      <c r="F1193" s="382" t="s">
        <v>412</v>
      </c>
      <c r="G1193" s="316">
        <f>3*3</f>
        <v>9</v>
      </c>
      <c r="H1193" s="530">
        <f>VLOOKUP(C1193,COMPOSIÇÕES!A:J,6,FALSE)</f>
        <v>133.91999999999999</v>
      </c>
      <c r="I1193" s="287">
        <f>COMPOSIÇÕES!$J$141</f>
        <v>160.03439999999998</v>
      </c>
      <c r="J1193" s="384">
        <f t="shared" si="159"/>
        <v>1440.3095999999998</v>
      </c>
    </row>
    <row r="1194" spans="1:10" s="276" customFormat="1" ht="28.8">
      <c r="A1194" s="263"/>
      <c r="B1194" s="381" t="s">
        <v>2127</v>
      </c>
      <c r="C1194" s="383" t="str">
        <f>COMPOSIÇÕES!A92</f>
        <v>38.06.040</v>
      </c>
      <c r="D1194" s="383" t="str">
        <f>COMPOSIÇÕES!B92</f>
        <v>CDHU - BOLETIM 191</v>
      </c>
      <c r="E1194" s="388" t="str">
        <f>COMPOSIÇÕES!C92</f>
        <v>Eletroduto galvanizado a quente conforme NBR5598 ‐ 3/4´ com acessórios</v>
      </c>
      <c r="F1194" s="382" t="s">
        <v>412</v>
      </c>
      <c r="G1194" s="316">
        <f>50*3</f>
        <v>150</v>
      </c>
      <c r="H1194" s="530">
        <f>VLOOKUP(C1194,COMPOSIÇÕES!A:J,6,FALSE)</f>
        <v>60.65</v>
      </c>
      <c r="I1194" s="287">
        <f>COMPOSIÇÕES!$J$92</f>
        <v>72.476749999999996</v>
      </c>
      <c r="J1194" s="384">
        <f t="shared" si="159"/>
        <v>10871.512499999999</v>
      </c>
    </row>
    <row r="1195" spans="1:10" s="276" customFormat="1" ht="28.8">
      <c r="A1195" s="263"/>
      <c r="B1195" s="381" t="s">
        <v>2128</v>
      </c>
      <c r="C1195" s="383" t="str">
        <f>COMPOSIÇÕES!A93</f>
        <v>38.06.060</v>
      </c>
      <c r="D1195" s="383" t="str">
        <f>COMPOSIÇÕES!B93</f>
        <v>CDHU - BOLETIM 191</v>
      </c>
      <c r="E1195" s="388" t="str">
        <f>COMPOSIÇÕES!C93</f>
        <v>Eletroduto galvanizado a quente conforme NBR5598 ‐ 1´ com acessórios</v>
      </c>
      <c r="F1195" s="382" t="s">
        <v>412</v>
      </c>
      <c r="G1195" s="316">
        <f>4*3</f>
        <v>12</v>
      </c>
      <c r="H1195" s="530">
        <f>VLOOKUP(C1195,COMPOSIÇÕES!A:J,6,FALSE)</f>
        <v>75.38</v>
      </c>
      <c r="I1195" s="287">
        <f>COMPOSIÇÕES!$J$93</f>
        <v>90.079099999999997</v>
      </c>
      <c r="J1195" s="384">
        <f t="shared" si="159"/>
        <v>1080.9492</v>
      </c>
    </row>
    <row r="1196" spans="1:10" s="276" customFormat="1" ht="28.8">
      <c r="A1196" s="263"/>
      <c r="B1196" s="381" t="s">
        <v>2129</v>
      </c>
      <c r="C1196" s="383" t="str">
        <f>COMPOSIÇÕES!A191</f>
        <v>38.06.120</v>
      </c>
      <c r="D1196" s="383" t="str">
        <f>COMPOSIÇÕES!B191</f>
        <v>CDHU - BOLETIM 191</v>
      </c>
      <c r="E1196" s="388" t="str">
        <f>COMPOSIÇÕES!C191</f>
        <v>Eletroduto galvanizado a quente conforme NBR5598 ‐ 2´ com acessórios</v>
      </c>
      <c r="F1196" s="382" t="s">
        <v>412</v>
      </c>
      <c r="G1196" s="316">
        <f>4*3</f>
        <v>12</v>
      </c>
      <c r="H1196" s="530">
        <f>VLOOKUP(C1196,COMPOSIÇÕES!A:J,6,FALSE)</f>
        <v>128.12</v>
      </c>
      <c r="I1196" s="287">
        <f>COMPOSIÇÕES!$J$191</f>
        <v>153.10340000000002</v>
      </c>
      <c r="J1196" s="384">
        <f t="shared" si="159"/>
        <v>1837.2408000000003</v>
      </c>
    </row>
    <row r="1197" spans="1:10" s="276" customFormat="1" ht="28.8">
      <c r="A1197" s="263"/>
      <c r="B1197" s="381" t="s">
        <v>2130</v>
      </c>
      <c r="C1197" s="382" t="str">
        <f>COMPOSIÇÕES!A163</f>
        <v>38.06.160</v>
      </c>
      <c r="D1197" s="383" t="str">
        <f>COMPOSIÇÕES!B163</f>
        <v>CDHU - BOLETIM 191</v>
      </c>
      <c r="E1197" s="388" t="str">
        <f>COMPOSIÇÕES!C163</f>
        <v>Eletroduto galvanizado a quente conforme NBR5598 ‐ 3´ com acessórios</v>
      </c>
      <c r="F1197" s="382" t="s">
        <v>412</v>
      </c>
      <c r="G1197" s="316">
        <f>5*3</f>
        <v>15</v>
      </c>
      <c r="H1197" s="530">
        <f>VLOOKUP(C1197,COMPOSIÇÕES!A:J,6,FALSE)</f>
        <v>212.36</v>
      </c>
      <c r="I1197" s="287">
        <f>COMPOSIÇÕES!$J$163</f>
        <v>253.77020000000002</v>
      </c>
      <c r="J1197" s="384">
        <f t="shared" si="159"/>
        <v>3806.5530000000003</v>
      </c>
    </row>
    <row r="1198" spans="1:10" s="276" customFormat="1" ht="28.8">
      <c r="A1198" s="263"/>
      <c r="B1198" s="381" t="s">
        <v>2131</v>
      </c>
      <c r="C1198" s="382" t="str">
        <f>COMPOSIÇÕES!A94</f>
        <v>38.06.180</v>
      </c>
      <c r="D1198" s="383" t="str">
        <f>COMPOSIÇÕES!B94</f>
        <v>CDHU - BOLETIM 191</v>
      </c>
      <c r="E1198" s="388" t="str">
        <f>COMPOSIÇÕES!C94</f>
        <v>Eletroduto galvanizado a quente conforme NBR5598 ‐ 4´ com acessórios</v>
      </c>
      <c r="F1198" s="382" t="s">
        <v>412</v>
      </c>
      <c r="G1198" s="316">
        <v>9</v>
      </c>
      <c r="H1198" s="530">
        <f>VLOOKUP(C1198,COMPOSIÇÕES!A:J,6,FALSE)</f>
        <v>305.01</v>
      </c>
      <c r="I1198" s="287">
        <f>COMPOSIÇÕES!$J$94</f>
        <v>364.48694999999998</v>
      </c>
      <c r="J1198" s="384">
        <f t="shared" si="159"/>
        <v>3280.3825499999998</v>
      </c>
    </row>
    <row r="1199" spans="1:10" s="276" customFormat="1">
      <c r="A1199" s="263"/>
      <c r="B1199" s="381" t="s">
        <v>2132</v>
      </c>
      <c r="C1199" s="382" t="s">
        <v>729</v>
      </c>
      <c r="D1199" s="383" t="s">
        <v>2474</v>
      </c>
      <c r="E1199" s="344" t="s">
        <v>730</v>
      </c>
      <c r="F1199" s="382" t="s">
        <v>412</v>
      </c>
      <c r="G1199" s="316">
        <v>6</v>
      </c>
      <c r="H1199" s="530">
        <f>VLOOKUP(C1199,COMPOSIÇÕES!A:J,6,FALSE)</f>
        <v>50.77</v>
      </c>
      <c r="I1199" s="287">
        <f>COMPOSIÇÕES!$J$95</f>
        <v>60.670150000000007</v>
      </c>
      <c r="J1199" s="384">
        <f t="shared" si="159"/>
        <v>364.02090000000004</v>
      </c>
    </row>
    <row r="1200" spans="1:10" s="276" customFormat="1" ht="28.8">
      <c r="A1200" s="263"/>
      <c r="B1200" s="381" t="s">
        <v>2133</v>
      </c>
      <c r="C1200" s="382">
        <v>91927</v>
      </c>
      <c r="D1200" s="383" t="str">
        <f>COMPOSIÇÕES!B96</f>
        <v>SINAPI SP - 08/2023</v>
      </c>
      <c r="E1200" s="344" t="s">
        <v>770</v>
      </c>
      <c r="F1200" s="382" t="s">
        <v>412</v>
      </c>
      <c r="G1200" s="316">
        <v>875</v>
      </c>
      <c r="H1200" s="530">
        <f>VLOOKUP(C1200,COMPOSIÇÕES!A:J,6,FALSE)</f>
        <v>4.8</v>
      </c>
      <c r="I1200" s="287">
        <f>COMPOSIÇÕES!$J$96</f>
        <v>5.7359999999999998</v>
      </c>
      <c r="J1200" s="384">
        <f t="shared" si="159"/>
        <v>5019</v>
      </c>
    </row>
    <row r="1201" spans="1:10" s="276" customFormat="1" ht="28.8">
      <c r="A1201" s="263"/>
      <c r="B1201" s="381" t="s">
        <v>2134</v>
      </c>
      <c r="C1201" s="382">
        <v>91927</v>
      </c>
      <c r="D1201" s="383" t="str">
        <f t="shared" ref="D1201:D1203" si="161">$D$1200</f>
        <v>SINAPI SP - 08/2023</v>
      </c>
      <c r="E1201" s="344" t="s">
        <v>771</v>
      </c>
      <c r="F1201" s="382" t="s">
        <v>412</v>
      </c>
      <c r="G1201" s="316">
        <v>875</v>
      </c>
      <c r="H1201" s="530">
        <f>VLOOKUP(C1201,COMPOSIÇÕES!A:J,6,FALSE)</f>
        <v>4.8</v>
      </c>
      <c r="I1201" s="287">
        <f>COMPOSIÇÕES!$J$96</f>
        <v>5.7359999999999998</v>
      </c>
      <c r="J1201" s="384">
        <f t="shared" si="159"/>
        <v>5019</v>
      </c>
    </row>
    <row r="1202" spans="1:10" s="276" customFormat="1" ht="28.8">
      <c r="A1202" s="263"/>
      <c r="B1202" s="381" t="s">
        <v>2135</v>
      </c>
      <c r="C1202" s="382">
        <v>91927</v>
      </c>
      <c r="D1202" s="383" t="str">
        <f t="shared" si="161"/>
        <v>SINAPI SP - 08/2023</v>
      </c>
      <c r="E1202" s="344" t="s">
        <v>772</v>
      </c>
      <c r="F1202" s="382" t="s">
        <v>412</v>
      </c>
      <c r="G1202" s="316">
        <v>800</v>
      </c>
      <c r="H1202" s="530">
        <f>VLOOKUP(C1202,COMPOSIÇÕES!A:J,6,FALSE)</f>
        <v>4.8</v>
      </c>
      <c r="I1202" s="287">
        <f>COMPOSIÇÕES!$J$96</f>
        <v>5.7359999999999998</v>
      </c>
      <c r="J1202" s="384">
        <f t="shared" si="159"/>
        <v>4588.8</v>
      </c>
    </row>
    <row r="1203" spans="1:10" s="276" customFormat="1" ht="28.8">
      <c r="A1203" s="263"/>
      <c r="B1203" s="381" t="s">
        <v>2136</v>
      </c>
      <c r="C1203" s="382">
        <v>91927</v>
      </c>
      <c r="D1203" s="383" t="str">
        <f t="shared" si="161"/>
        <v>SINAPI SP - 08/2023</v>
      </c>
      <c r="E1203" s="344" t="s">
        <v>773</v>
      </c>
      <c r="F1203" s="382" t="s">
        <v>412</v>
      </c>
      <c r="G1203" s="316">
        <v>300</v>
      </c>
      <c r="H1203" s="530">
        <f>VLOOKUP(C1203,COMPOSIÇÕES!A:J,6,FALSE)</f>
        <v>4.8</v>
      </c>
      <c r="I1203" s="287">
        <f>COMPOSIÇÕES!$J$96</f>
        <v>5.7359999999999998</v>
      </c>
      <c r="J1203" s="384">
        <f t="shared" si="159"/>
        <v>1720.8</v>
      </c>
    </row>
    <row r="1204" spans="1:10" s="276" customFormat="1" ht="28.8">
      <c r="A1204" s="263"/>
      <c r="B1204" s="381" t="s">
        <v>2137</v>
      </c>
      <c r="C1204" s="382">
        <v>91929</v>
      </c>
      <c r="D1204" s="383" t="str">
        <f>COMPOSIÇÕES!B97</f>
        <v>SINAPI SP - 08/2023</v>
      </c>
      <c r="E1204" s="344" t="s">
        <v>774</v>
      </c>
      <c r="F1204" s="382" t="s">
        <v>412</v>
      </c>
      <c r="G1204" s="316">
        <v>50</v>
      </c>
      <c r="H1204" s="530">
        <f>VLOOKUP(C1204,COMPOSIÇÕES!A:J,6,FALSE)</f>
        <v>6.92</v>
      </c>
      <c r="I1204" s="287">
        <f>COMPOSIÇÕES!$J$97</f>
        <v>8.2693999999999992</v>
      </c>
      <c r="J1204" s="384">
        <f t="shared" si="159"/>
        <v>413.46999999999997</v>
      </c>
    </row>
    <row r="1205" spans="1:10" s="276" customFormat="1" ht="28.8">
      <c r="A1205" s="263"/>
      <c r="B1205" s="381" t="s">
        <v>2138</v>
      </c>
      <c r="C1205" s="382">
        <v>91929</v>
      </c>
      <c r="D1205" s="383" t="str">
        <f t="shared" ref="D1205:D1207" si="162">$D$1204</f>
        <v>SINAPI SP - 08/2023</v>
      </c>
      <c r="E1205" s="344" t="s">
        <v>775</v>
      </c>
      <c r="F1205" s="382" t="s">
        <v>412</v>
      </c>
      <c r="G1205" s="316">
        <v>50</v>
      </c>
      <c r="H1205" s="530">
        <f>VLOOKUP(C1205,COMPOSIÇÕES!A:J,6,FALSE)</f>
        <v>6.92</v>
      </c>
      <c r="I1205" s="287">
        <f>COMPOSIÇÕES!$J$97</f>
        <v>8.2693999999999992</v>
      </c>
      <c r="J1205" s="384">
        <f t="shared" si="159"/>
        <v>413.46999999999997</v>
      </c>
    </row>
    <row r="1206" spans="1:10" s="276" customFormat="1" ht="28.8">
      <c r="A1206" s="263"/>
      <c r="B1206" s="381" t="s">
        <v>2139</v>
      </c>
      <c r="C1206" s="382">
        <v>91929</v>
      </c>
      <c r="D1206" s="383" t="str">
        <f t="shared" si="162"/>
        <v>SINAPI SP - 08/2023</v>
      </c>
      <c r="E1206" s="344" t="s">
        <v>835</v>
      </c>
      <c r="F1206" s="382" t="s">
        <v>412</v>
      </c>
      <c r="G1206" s="316">
        <v>50</v>
      </c>
      <c r="H1206" s="530">
        <f>VLOOKUP(C1206,COMPOSIÇÕES!A:J,6,FALSE)</f>
        <v>6.92</v>
      </c>
      <c r="I1206" s="287">
        <f>COMPOSIÇÕES!$J$97</f>
        <v>8.2693999999999992</v>
      </c>
      <c r="J1206" s="384">
        <f t="shared" si="159"/>
        <v>413.46999999999997</v>
      </c>
    </row>
    <row r="1207" spans="1:10" s="276" customFormat="1" ht="28.8">
      <c r="A1207" s="263"/>
      <c r="B1207" s="381" t="s">
        <v>2140</v>
      </c>
      <c r="C1207" s="382">
        <v>91929</v>
      </c>
      <c r="D1207" s="383" t="str">
        <f t="shared" si="162"/>
        <v>SINAPI SP - 08/2023</v>
      </c>
      <c r="E1207" s="344" t="s">
        <v>776</v>
      </c>
      <c r="F1207" s="382" t="s">
        <v>412</v>
      </c>
      <c r="G1207" s="316">
        <v>200</v>
      </c>
      <c r="H1207" s="530">
        <f>VLOOKUP(C1207,COMPOSIÇÕES!A:J,6,FALSE)</f>
        <v>6.92</v>
      </c>
      <c r="I1207" s="287">
        <f>COMPOSIÇÕES!$J$97</f>
        <v>8.2693999999999992</v>
      </c>
      <c r="J1207" s="384">
        <f t="shared" si="159"/>
        <v>1653.8799999999999</v>
      </c>
    </row>
    <row r="1208" spans="1:10" s="276" customFormat="1" ht="28.8">
      <c r="A1208" s="263"/>
      <c r="B1208" s="381" t="s">
        <v>2141</v>
      </c>
      <c r="C1208" s="382">
        <v>92994</v>
      </c>
      <c r="D1208" s="383" t="str">
        <f>COMPOSIÇÕES!B143</f>
        <v>SINAPI SP - 08/2023</v>
      </c>
      <c r="E1208" s="344" t="s">
        <v>841</v>
      </c>
      <c r="F1208" s="382" t="s">
        <v>412</v>
      </c>
      <c r="G1208" s="316">
        <v>50</v>
      </c>
      <c r="H1208" s="530">
        <f>VLOOKUP(C1208,COMPOSIÇÕES!A:J,6,FALSE)</f>
        <v>105.42</v>
      </c>
      <c r="I1208" s="287">
        <f>COMPOSIÇÕES!$J$143</f>
        <v>125.9769</v>
      </c>
      <c r="J1208" s="384">
        <f t="shared" si="159"/>
        <v>6298.8450000000003</v>
      </c>
    </row>
    <row r="1209" spans="1:10" s="276" customFormat="1" ht="28.8">
      <c r="A1209" s="263"/>
      <c r="B1209" s="381" t="s">
        <v>2142</v>
      </c>
      <c r="C1209" s="382">
        <v>93000</v>
      </c>
      <c r="D1209" s="383" t="str">
        <f>COMPOSIÇÕES!B217</f>
        <v>SINAPI SP - 08/2023</v>
      </c>
      <c r="E1209" s="344" t="s">
        <v>865</v>
      </c>
      <c r="F1209" s="382" t="s">
        <v>412</v>
      </c>
      <c r="G1209" s="316">
        <v>50</v>
      </c>
      <c r="H1209" s="530">
        <f>VLOOKUP(C1209,COMPOSIÇÕES!A:J,6,FALSE)</f>
        <v>205.75</v>
      </c>
      <c r="I1209" s="287">
        <f>COMPOSIÇÕES!$J$217</f>
        <v>245.87125</v>
      </c>
      <c r="J1209" s="384">
        <f t="shared" si="159"/>
        <v>12293.5625</v>
      </c>
    </row>
    <row r="1210" spans="1:10" s="276" customFormat="1" ht="28.8">
      <c r="A1210" s="263"/>
      <c r="B1210" s="381" t="s">
        <v>2143</v>
      </c>
      <c r="C1210" s="382">
        <v>93000</v>
      </c>
      <c r="D1210" s="383" t="str">
        <f t="shared" ref="D1210:D1212" si="163">$D$1209</f>
        <v>SINAPI SP - 08/2023</v>
      </c>
      <c r="E1210" s="344" t="s">
        <v>866</v>
      </c>
      <c r="F1210" s="382" t="s">
        <v>412</v>
      </c>
      <c r="G1210" s="316">
        <v>50</v>
      </c>
      <c r="H1210" s="530">
        <f>VLOOKUP(C1210,COMPOSIÇÕES!A:J,6,FALSE)</f>
        <v>205.75</v>
      </c>
      <c r="I1210" s="287">
        <f>COMPOSIÇÕES!$J$217</f>
        <v>245.87125</v>
      </c>
      <c r="J1210" s="384">
        <f t="shared" si="159"/>
        <v>12293.5625</v>
      </c>
    </row>
    <row r="1211" spans="1:10" s="276" customFormat="1" ht="28.8">
      <c r="A1211" s="263"/>
      <c r="B1211" s="381" t="s">
        <v>2144</v>
      </c>
      <c r="C1211" s="382">
        <v>93000</v>
      </c>
      <c r="D1211" s="383" t="str">
        <f t="shared" si="163"/>
        <v>SINAPI SP - 08/2023</v>
      </c>
      <c r="E1211" s="344" t="s">
        <v>867</v>
      </c>
      <c r="F1211" s="382" t="s">
        <v>412</v>
      </c>
      <c r="G1211" s="316">
        <v>50</v>
      </c>
      <c r="H1211" s="530">
        <f>VLOOKUP(C1211,COMPOSIÇÕES!A:J,6,FALSE)</f>
        <v>205.75</v>
      </c>
      <c r="I1211" s="287">
        <f>COMPOSIÇÕES!$J$217</f>
        <v>245.87125</v>
      </c>
      <c r="J1211" s="384">
        <f t="shared" si="159"/>
        <v>12293.5625</v>
      </c>
    </row>
    <row r="1212" spans="1:10" s="276" customFormat="1" ht="28.8">
      <c r="A1212" s="263"/>
      <c r="B1212" s="381" t="s">
        <v>2145</v>
      </c>
      <c r="C1212" s="382">
        <v>93000</v>
      </c>
      <c r="D1212" s="383" t="str">
        <f t="shared" si="163"/>
        <v>SINAPI SP - 08/2023</v>
      </c>
      <c r="E1212" s="344" t="s">
        <v>868</v>
      </c>
      <c r="F1212" s="382" t="s">
        <v>412</v>
      </c>
      <c r="G1212" s="316">
        <v>50</v>
      </c>
      <c r="H1212" s="530">
        <f>VLOOKUP(C1212,COMPOSIÇÕES!A:J,6,FALSE)</f>
        <v>205.75</v>
      </c>
      <c r="I1212" s="287">
        <f>COMPOSIÇÕES!$J$217</f>
        <v>245.87125</v>
      </c>
      <c r="J1212" s="384">
        <f t="shared" si="159"/>
        <v>12293.5625</v>
      </c>
    </row>
    <row r="1213" spans="1:10" s="276" customFormat="1">
      <c r="A1213" s="263"/>
      <c r="B1213" s="381" t="s">
        <v>2146</v>
      </c>
      <c r="C1213" s="383" t="str">
        <f>COMPOSIÇÕES!A144</f>
        <v>09.82.028</v>
      </c>
      <c r="D1213" s="383" t="str">
        <f>COMPOSIÇÕES!B144</f>
        <v>FDE - 07/2023</v>
      </c>
      <c r="E1213" s="344" t="s">
        <v>871</v>
      </c>
      <c r="F1213" s="382" t="s">
        <v>431</v>
      </c>
      <c r="G1213" s="316">
        <v>12</v>
      </c>
      <c r="H1213" s="530">
        <f>VLOOKUP(C1213,COMPOSIÇÕES!A:J,6,FALSE)</f>
        <v>28.62</v>
      </c>
      <c r="I1213" s="287">
        <f>COMPOSIÇÕES!$J$144</f>
        <v>34.200900000000004</v>
      </c>
      <c r="J1213" s="384">
        <f t="shared" si="159"/>
        <v>410.41080000000005</v>
      </c>
    </row>
    <row r="1214" spans="1:10" s="276" customFormat="1">
      <c r="A1214" s="263"/>
      <c r="B1214" s="381" t="s">
        <v>2147</v>
      </c>
      <c r="C1214" s="383" t="str">
        <f>COMPOSIÇÕES!A145</f>
        <v>09.82.032</v>
      </c>
      <c r="D1214" s="383" t="str">
        <f>COMPOSIÇÕES!B145</f>
        <v>FDE - 07/2023</v>
      </c>
      <c r="E1214" s="344" t="s">
        <v>870</v>
      </c>
      <c r="F1214" s="382" t="s">
        <v>431</v>
      </c>
      <c r="G1214" s="316">
        <v>4</v>
      </c>
      <c r="H1214" s="530">
        <f>VLOOKUP(C1214,COMPOSIÇÕES!A:J,6,FALSE)</f>
        <v>56.55</v>
      </c>
      <c r="I1214" s="287">
        <f>COMPOSIÇÕES!$J$145</f>
        <v>67.577249999999992</v>
      </c>
      <c r="J1214" s="384">
        <f t="shared" si="159"/>
        <v>270.30899999999997</v>
      </c>
    </row>
    <row r="1215" spans="1:10" s="276" customFormat="1">
      <c r="A1215" s="263"/>
      <c r="B1215" s="381" t="s">
        <v>2148</v>
      </c>
      <c r="C1215" s="383" t="str">
        <f>COMPOSIÇÕES!A219</f>
        <v>09.82.035</v>
      </c>
      <c r="D1215" s="383" t="str">
        <f>COMPOSIÇÕES!B219</f>
        <v>FDE - 07/2023</v>
      </c>
      <c r="E1215" s="344" t="s">
        <v>873</v>
      </c>
      <c r="F1215" s="382" t="s">
        <v>431</v>
      </c>
      <c r="G1215" s="316">
        <v>12</v>
      </c>
      <c r="H1215" s="530">
        <f>VLOOKUP(C1215,COMPOSIÇÕES!A:J,6,FALSE)</f>
        <v>62.84</v>
      </c>
      <c r="I1215" s="287">
        <f>COMPOSIÇÕES!$J$219</f>
        <v>75.093800000000002</v>
      </c>
      <c r="J1215" s="384">
        <f t="shared" si="159"/>
        <v>901.12560000000008</v>
      </c>
    </row>
    <row r="1216" spans="1:10" s="263" customFormat="1" ht="72">
      <c r="B1216" s="381" t="s">
        <v>2149</v>
      </c>
      <c r="C1216" s="275" t="s">
        <v>711</v>
      </c>
      <c r="D1216" s="277" t="str">
        <f>COMPOSIÇÕES!B301</f>
        <v>CDHU - BOLETIM 191 + FDE - 07/2023 + SINAPI SP - 08/2023</v>
      </c>
      <c r="E1216" s="278" t="s">
        <v>1015</v>
      </c>
      <c r="F1216" s="275" t="s">
        <v>530</v>
      </c>
      <c r="G1216" s="313">
        <v>1</v>
      </c>
      <c r="H1216" s="301">
        <f>SUM(COMPOSIÇÕES!G302:G308)</f>
        <v>13004.944830125523</v>
      </c>
      <c r="I1216" s="286">
        <f>COMPOSIÇÕES!$J$301</f>
        <v>15540.909072</v>
      </c>
      <c r="J1216" s="295">
        <f t="shared" si="159"/>
        <v>15540.909072</v>
      </c>
    </row>
    <row r="1217" spans="1:10" s="263" customFormat="1">
      <c r="B1217" s="579" t="s">
        <v>2157</v>
      </c>
      <c r="C1217" s="580"/>
      <c r="D1217" s="580"/>
      <c r="E1217" s="580"/>
      <c r="F1217" s="580"/>
      <c r="G1217" s="580"/>
      <c r="H1217" s="580"/>
      <c r="I1217" s="581"/>
      <c r="J1217" s="296">
        <f>SUM(J1182:J1216)</f>
        <v>132535.59196988618</v>
      </c>
    </row>
    <row r="1218" spans="1:10" s="263" customFormat="1">
      <c r="B1218" s="237" t="s">
        <v>2150</v>
      </c>
      <c r="C1218" s="238"/>
      <c r="D1218" s="533"/>
      <c r="E1218" s="239" t="s">
        <v>650</v>
      </c>
      <c r="F1218" s="238"/>
      <c r="G1218" s="312"/>
      <c r="H1218" s="300"/>
      <c r="I1218" s="285"/>
      <c r="J1218" s="294"/>
    </row>
    <row r="1219" spans="1:10" s="276" customFormat="1">
      <c r="A1219" s="263"/>
      <c r="B1219" s="381" t="s">
        <v>2151</v>
      </c>
      <c r="C1219" s="382" t="s">
        <v>708</v>
      </c>
      <c r="D1219" s="383" t="str">
        <f>COMPOSIÇÕES!B115</f>
        <v>FDE - 07/2023</v>
      </c>
      <c r="E1219" s="344" t="s">
        <v>651</v>
      </c>
      <c r="F1219" s="382" t="s">
        <v>541</v>
      </c>
      <c r="G1219" s="316">
        <v>100</v>
      </c>
      <c r="H1219" s="290">
        <f>COMPOSIÇÕES!$G$116</f>
        <v>5.116260162601626</v>
      </c>
      <c r="I1219" s="287">
        <f>COMPOSIÇÕES!$J$115</f>
        <v>6.1139308943089432</v>
      </c>
      <c r="J1219" s="384">
        <f>G1219*I1219</f>
        <v>611.39308943089429</v>
      </c>
    </row>
    <row r="1220" spans="1:10" s="263" customFormat="1">
      <c r="B1220" s="579" t="s">
        <v>2158</v>
      </c>
      <c r="C1220" s="580"/>
      <c r="D1220" s="580"/>
      <c r="E1220" s="580"/>
      <c r="F1220" s="580"/>
      <c r="G1220" s="580"/>
      <c r="H1220" s="580"/>
      <c r="I1220" s="581"/>
      <c r="J1220" s="296">
        <f>J1219</f>
        <v>611.39308943089429</v>
      </c>
    </row>
    <row r="1221" spans="1:10" s="263" customFormat="1" ht="25.5" customHeight="1" thickBot="1">
      <c r="B1221" s="564" t="s">
        <v>674</v>
      </c>
      <c r="C1221" s="565"/>
      <c r="D1221" s="565"/>
      <c r="E1221" s="565"/>
      <c r="F1221" s="565"/>
      <c r="G1221" s="565"/>
      <c r="H1221" s="565"/>
      <c r="I1221" s="566"/>
      <c r="J1221" s="297">
        <f>J1158+J1180+J1217+J1220</f>
        <v>276647.17288072209</v>
      </c>
    </row>
    <row r="1222" spans="1:10" s="263" customFormat="1">
      <c r="B1222" s="264" t="s">
        <v>514</v>
      </c>
      <c r="C1222" s="265"/>
      <c r="D1222" s="534"/>
      <c r="E1222" s="266" t="s">
        <v>527</v>
      </c>
      <c r="F1222" s="265"/>
      <c r="G1222" s="310"/>
      <c r="H1222" s="298"/>
      <c r="I1222" s="283"/>
      <c r="J1222" s="292"/>
    </row>
    <row r="1223" spans="1:10" s="263" customFormat="1" ht="6" customHeight="1">
      <c r="B1223" s="234"/>
      <c r="C1223" s="235"/>
      <c r="D1223" s="532"/>
      <c r="E1223" s="236"/>
      <c r="F1223" s="235"/>
      <c r="G1223" s="311"/>
      <c r="H1223" s="299"/>
      <c r="I1223" s="284"/>
      <c r="J1223" s="293"/>
    </row>
    <row r="1224" spans="1:10" s="263" customFormat="1">
      <c r="B1224" s="237" t="s">
        <v>2152</v>
      </c>
      <c r="C1224" s="238"/>
      <c r="D1224" s="533"/>
      <c r="E1224" s="239" t="s">
        <v>483</v>
      </c>
      <c r="F1224" s="238"/>
      <c r="G1224" s="312"/>
      <c r="H1224" s="300"/>
      <c r="I1224" s="285"/>
      <c r="J1224" s="294"/>
    </row>
    <row r="1225" spans="1:10" s="150" customFormat="1">
      <c r="B1225" s="381" t="s">
        <v>2153</v>
      </c>
      <c r="C1225" s="317" t="str">
        <f t="shared" ref="C1225:J1226" si="164">C1094</f>
        <v>16.06.076</v>
      </c>
      <c r="D1225" s="317" t="str">
        <f t="shared" si="164"/>
        <v>FDE - 07/2023</v>
      </c>
      <c r="E1225" s="344" t="str">
        <f t="shared" si="164"/>
        <v>FORNECIMENTO E INSTALAÇAO DE PLACAS DE OBRA</v>
      </c>
      <c r="F1225" s="382" t="str">
        <f t="shared" si="164"/>
        <v>M²</v>
      </c>
      <c r="G1225" s="316">
        <f t="shared" si="164"/>
        <v>5</v>
      </c>
      <c r="H1225" s="290">
        <f t="shared" si="164"/>
        <v>407.8057</v>
      </c>
      <c r="I1225" s="287">
        <f t="shared" si="164"/>
        <v>487.3278115</v>
      </c>
      <c r="J1225" s="384">
        <f t="shared" si="164"/>
        <v>2436.6390575</v>
      </c>
    </row>
    <row r="1226" spans="1:10" s="150" customFormat="1" ht="28.8">
      <c r="B1226" s="381" t="s">
        <v>2154</v>
      </c>
      <c r="C1226" s="382">
        <f t="shared" si="164"/>
        <v>37524</v>
      </c>
      <c r="D1226" s="383" t="str">
        <f t="shared" si="164"/>
        <v>SINAPI SP - 08/2023</v>
      </c>
      <c r="E1226" s="344" t="str">
        <f t="shared" si="164"/>
        <v>TELA PLASTICA LARANJA, TIPO TAPUME PARA SINALIZACAO, MALHA RETANGULAR, ROLO 1.20 X 50 M (L X C)</v>
      </c>
      <c r="F1226" s="382" t="str">
        <f t="shared" si="164"/>
        <v>M²</v>
      </c>
      <c r="G1226" s="316">
        <f t="shared" si="164"/>
        <v>40</v>
      </c>
      <c r="H1226" s="290">
        <f t="shared" si="164"/>
        <v>2</v>
      </c>
      <c r="I1226" s="287">
        <f t="shared" si="164"/>
        <v>2.39</v>
      </c>
      <c r="J1226" s="384">
        <f t="shared" si="164"/>
        <v>95.600000000000009</v>
      </c>
    </row>
    <row r="1227" spans="1:10" s="263" customFormat="1">
      <c r="B1227" s="579" t="s">
        <v>2210</v>
      </c>
      <c r="C1227" s="580"/>
      <c r="D1227" s="580"/>
      <c r="E1227" s="580"/>
      <c r="F1227" s="580"/>
      <c r="G1227" s="580"/>
      <c r="H1227" s="580"/>
      <c r="I1227" s="581"/>
      <c r="J1227" s="296">
        <f>SUM(J1225:J1226)</f>
        <v>2532.2390574999999</v>
      </c>
    </row>
    <row r="1228" spans="1:10" s="263" customFormat="1">
      <c r="B1228" s="237" t="s">
        <v>2159</v>
      </c>
      <c r="C1228" s="238"/>
      <c r="D1228" s="533"/>
      <c r="E1228" s="239" t="s">
        <v>525</v>
      </c>
      <c r="F1228" s="238"/>
      <c r="G1228" s="312"/>
      <c r="H1228" s="300"/>
      <c r="I1228" s="285"/>
      <c r="J1228" s="294"/>
    </row>
    <row r="1229" spans="1:10" s="276" customFormat="1" ht="28.8">
      <c r="B1229" s="381" t="s">
        <v>2160</v>
      </c>
      <c r="C1229" s="382" t="s">
        <v>711</v>
      </c>
      <c r="D1229" s="383" t="str">
        <f>COMPOSIÇÕES!B10</f>
        <v>SINAPI SP - 08/2023</v>
      </c>
      <c r="E1229" s="487" t="s">
        <v>2404</v>
      </c>
      <c r="F1229" s="382" t="s">
        <v>431</v>
      </c>
      <c r="G1229" s="315">
        <v>18</v>
      </c>
      <c r="H1229" s="290">
        <f>SUM(COMPOSIÇÕES!G11:G13)</f>
        <v>328.17395199999999</v>
      </c>
      <c r="I1229" s="287">
        <f>COMPOSIÇÕES!J10</f>
        <v>392.16787263999993</v>
      </c>
      <c r="J1229" s="384">
        <f t="shared" ref="J1229:J1240" si="165">G1229*I1229</f>
        <v>7059.0217075199989</v>
      </c>
    </row>
    <row r="1230" spans="1:10" s="150" customFormat="1" ht="86.4">
      <c r="B1230" s="381" t="s">
        <v>2161</v>
      </c>
      <c r="C1230" s="382" t="s">
        <v>711</v>
      </c>
      <c r="D1230" s="383" t="str">
        <f>COMPOSIÇÕES!B14</f>
        <v>SINAPI SP - 08/2023</v>
      </c>
      <c r="E1230" s="344" t="s">
        <v>754</v>
      </c>
      <c r="F1230" s="382" t="s">
        <v>412</v>
      </c>
      <c r="G1230" s="317">
        <v>27</v>
      </c>
      <c r="H1230" s="290">
        <f>SUM(COMPOSIÇÕES!G15:G18)</f>
        <v>37.264400000000002</v>
      </c>
      <c r="I1230" s="287">
        <f>COMPOSIÇÕES!$J$14</f>
        <v>44.530958000000005</v>
      </c>
      <c r="J1230" s="384">
        <f t="shared" si="165"/>
        <v>1202.3358660000001</v>
      </c>
    </row>
    <row r="1231" spans="1:10" s="150" customFormat="1" ht="86.4">
      <c r="B1231" s="381" t="s">
        <v>2162</v>
      </c>
      <c r="C1231" s="382" t="s">
        <v>711</v>
      </c>
      <c r="D1231" s="383" t="str">
        <f>COMPOSIÇÕES!B19</f>
        <v>SINAPI SP - 08/2023</v>
      </c>
      <c r="E1231" s="344" t="s">
        <v>755</v>
      </c>
      <c r="F1231" s="382" t="s">
        <v>412</v>
      </c>
      <c r="G1231" s="317">
        <v>27</v>
      </c>
      <c r="H1231" s="290">
        <f>SUM(COMPOSIÇÕES!G20:G23)</f>
        <v>69.234999999999985</v>
      </c>
      <c r="I1231" s="287">
        <f>COMPOSIÇÕES!$J$19</f>
        <v>82.735824999999991</v>
      </c>
      <c r="J1231" s="384">
        <f t="shared" si="165"/>
        <v>2233.8672749999996</v>
      </c>
    </row>
    <row r="1232" spans="1:10" s="150" customFormat="1" ht="86.4">
      <c r="B1232" s="381" t="s">
        <v>2163</v>
      </c>
      <c r="C1232" s="382" t="s">
        <v>711</v>
      </c>
      <c r="D1232" s="383" t="str">
        <f>COMPOSIÇÕES!B24</f>
        <v>SINAPI SP - 08/2023</v>
      </c>
      <c r="E1232" s="344" t="s">
        <v>747</v>
      </c>
      <c r="F1232" s="382" t="s">
        <v>412</v>
      </c>
      <c r="G1232" s="317">
        <v>90</v>
      </c>
      <c r="H1232" s="290">
        <f>SUM(COMPOSIÇÕES!G25:G28)</f>
        <v>53.322000000000003</v>
      </c>
      <c r="I1232" s="287">
        <f>COMPOSIÇÕES!$J$24</f>
        <v>63.719789999999996</v>
      </c>
      <c r="J1232" s="384">
        <f t="shared" si="165"/>
        <v>5734.7810999999992</v>
      </c>
    </row>
    <row r="1233" spans="1:10" s="393" customFormat="1" ht="86.4">
      <c r="A1233" s="150"/>
      <c r="B1233" s="381" t="s">
        <v>2164</v>
      </c>
      <c r="C1233" s="394" t="s">
        <v>711</v>
      </c>
      <c r="D1233" s="389" t="str">
        <f>COMPOSIÇÕES!B29</f>
        <v xml:space="preserve">SINAPI SP - 08/2023 </v>
      </c>
      <c r="E1233" s="395" t="s">
        <v>748</v>
      </c>
      <c r="F1233" s="394" t="s">
        <v>412</v>
      </c>
      <c r="G1233" s="315">
        <v>90</v>
      </c>
      <c r="H1233" s="392">
        <f>SUM(COMPOSIÇÕES!G30:G33)</f>
        <v>85.438000000000002</v>
      </c>
      <c r="I1233" s="396">
        <f>COMPOSIÇÕES!$J$29</f>
        <v>102.09840999999999</v>
      </c>
      <c r="J1233" s="397">
        <f t="shared" si="165"/>
        <v>9188.8568999999989</v>
      </c>
    </row>
    <row r="1234" spans="1:10" s="393" customFormat="1" ht="28.8">
      <c r="A1234" s="150"/>
      <c r="B1234" s="381" t="s">
        <v>2165</v>
      </c>
      <c r="C1234" s="394" t="str">
        <f t="shared" ref="C1234:I1234" si="166">C1166</f>
        <v>22.02.030</v>
      </c>
      <c r="D1234" s="389" t="str">
        <f t="shared" si="166"/>
        <v>CDHU - BOLETIM 191</v>
      </c>
      <c r="E1234" s="395" t="str">
        <f t="shared" si="166"/>
        <v>Forro em painéis de gesso acartonado, espessura de 12,5mm, fixo</v>
      </c>
      <c r="F1234" s="394" t="str">
        <f t="shared" si="166"/>
        <v>M²</v>
      </c>
      <c r="G1234" s="315">
        <f>6.5*0.55*2*10</f>
        <v>71.5</v>
      </c>
      <c r="H1234" s="392">
        <f t="shared" si="166"/>
        <v>99.47</v>
      </c>
      <c r="I1234" s="396">
        <f t="shared" si="166"/>
        <v>118.86664999999999</v>
      </c>
      <c r="J1234" s="397">
        <f t="shared" si="165"/>
        <v>8498.9654749999991</v>
      </c>
    </row>
    <row r="1235" spans="1:10" s="150" customFormat="1" ht="57.6">
      <c r="B1235" s="381" t="s">
        <v>2166</v>
      </c>
      <c r="C1235" s="382" t="s">
        <v>711</v>
      </c>
      <c r="D1235" s="383" t="str">
        <f>COMPOSIÇÕES!B36</f>
        <v xml:space="preserve">SINAPI SP - 08/2023 </v>
      </c>
      <c r="E1235" s="398" t="s">
        <v>756</v>
      </c>
      <c r="F1235" s="382" t="s">
        <v>413</v>
      </c>
      <c r="G1235" s="315">
        <v>440</v>
      </c>
      <c r="H1235" s="287">
        <f>SUM(COMPOSIÇÕES!G37:G39)</f>
        <v>84.94</v>
      </c>
      <c r="I1235" s="287">
        <f>COMPOSIÇÕES!$J$36</f>
        <v>101.5033</v>
      </c>
      <c r="J1235" s="384">
        <f t="shared" si="165"/>
        <v>44661.451999999997</v>
      </c>
    </row>
    <row r="1236" spans="1:10" s="335" customFormat="1" ht="28.8">
      <c r="A1236" s="150"/>
      <c r="B1236" s="381" t="s">
        <v>2167</v>
      </c>
      <c r="C1236" s="383" t="str">
        <f>COMPOSIÇÕES!A44</f>
        <v>61.10.565</v>
      </c>
      <c r="D1236" s="383" t="str">
        <f>COMPOSIÇÕES!B44</f>
        <v>CDHU - BOLETIM 191</v>
      </c>
      <c r="E1236" s="388" t="s">
        <v>1042</v>
      </c>
      <c r="F1236" s="382" t="s">
        <v>431</v>
      </c>
      <c r="G1236" s="315">
        <v>8</v>
      </c>
      <c r="H1236" s="287">
        <f>COMPOSIÇÕES!G45</f>
        <v>248.91654375000002</v>
      </c>
      <c r="I1236" s="287">
        <f>COMPOSIÇÕES!$J$44</f>
        <v>297.45526978125002</v>
      </c>
      <c r="J1236" s="384">
        <f t="shared" si="165"/>
        <v>2379.6421582500002</v>
      </c>
    </row>
    <row r="1237" spans="1:10" s="335" customFormat="1" ht="28.8">
      <c r="A1237" s="150"/>
      <c r="B1237" s="381" t="s">
        <v>2168</v>
      </c>
      <c r="C1237" s="383" t="str">
        <f>COMPOSIÇÕES!A46</f>
        <v>61.10.564</v>
      </c>
      <c r="D1237" s="383" t="str">
        <f>COMPOSIÇÕES!B46</f>
        <v>CDHU - BOLETIM 191</v>
      </c>
      <c r="E1237" s="388" t="s">
        <v>1043</v>
      </c>
      <c r="F1237" s="382" t="s">
        <v>431</v>
      </c>
      <c r="G1237" s="315">
        <v>2</v>
      </c>
      <c r="H1237" s="287">
        <f>COMPOSIÇÕES!G47</f>
        <v>49.947131250000005</v>
      </c>
      <c r="I1237" s="287">
        <f>COMPOSIÇÕES!$J$46</f>
        <v>59.68682184375001</v>
      </c>
      <c r="J1237" s="384">
        <f t="shared" si="165"/>
        <v>119.37364368750002</v>
      </c>
    </row>
    <row r="1238" spans="1:10" s="150" customFormat="1" ht="28.8">
      <c r="B1238" s="381" t="s">
        <v>2169</v>
      </c>
      <c r="C1238" s="383" t="str">
        <f>COMPOSIÇÕES!A56</f>
        <v>61.10.581</v>
      </c>
      <c r="D1238" s="383" t="str">
        <f>COMPOSIÇÕES!B56</f>
        <v>CDHU - BOLETIM 191</v>
      </c>
      <c r="E1238" s="388" t="s">
        <v>1117</v>
      </c>
      <c r="F1238" s="382" t="s">
        <v>431</v>
      </c>
      <c r="G1238" s="315">
        <v>2</v>
      </c>
      <c r="H1238" s="287">
        <f>COMPOSIÇÕES!G57</f>
        <v>16.945000000000004</v>
      </c>
      <c r="I1238" s="287">
        <f>COMPOSIÇÕES!$J$56</f>
        <v>20.249275000000004</v>
      </c>
      <c r="J1238" s="384">
        <f t="shared" si="165"/>
        <v>40.498550000000009</v>
      </c>
    </row>
    <row r="1239" spans="1:10" s="150" customFormat="1" ht="28.8">
      <c r="B1239" s="381" t="s">
        <v>2170</v>
      </c>
      <c r="C1239" s="383" t="str">
        <f>COMPOSIÇÕES!A52</f>
        <v>61.10.581</v>
      </c>
      <c r="D1239" s="383" t="str">
        <f>COMPOSIÇÕES!B52</f>
        <v>CDHU - BOLETIM 191</v>
      </c>
      <c r="E1239" s="388" t="s">
        <v>1120</v>
      </c>
      <c r="F1239" s="382" t="s">
        <v>431</v>
      </c>
      <c r="G1239" s="315">
        <v>8</v>
      </c>
      <c r="H1239" s="287">
        <f>COMPOSIÇÕES!G53</f>
        <v>190.63124999999999</v>
      </c>
      <c r="I1239" s="287">
        <f>COMPOSIÇÕES!$J$52</f>
        <v>227.80434374999999</v>
      </c>
      <c r="J1239" s="384">
        <f t="shared" si="165"/>
        <v>1822.4347499999999</v>
      </c>
    </row>
    <row r="1240" spans="1:10" s="150" customFormat="1" ht="28.8">
      <c r="A1240" s="271"/>
      <c r="B1240" s="381" t="s">
        <v>2171</v>
      </c>
      <c r="C1240" s="382" t="s">
        <v>711</v>
      </c>
      <c r="D1240" s="383" t="str">
        <f>COMPOSIÇÕES!B58</f>
        <v xml:space="preserve">SINAPI SP - 08/2023 </v>
      </c>
      <c r="E1240" s="388" t="s">
        <v>758</v>
      </c>
      <c r="F1240" s="382" t="s">
        <v>412</v>
      </c>
      <c r="G1240" s="315">
        <v>150</v>
      </c>
      <c r="H1240" s="287">
        <f>SUM(COMPOSIÇÕES!G59:G61)</f>
        <v>31.499000000000002</v>
      </c>
      <c r="I1240" s="287">
        <f>COMPOSIÇÕES!$J$58</f>
        <v>37.641304999999996</v>
      </c>
      <c r="J1240" s="384">
        <f t="shared" si="165"/>
        <v>5646.195749999999</v>
      </c>
    </row>
    <row r="1241" spans="1:10" s="150" customFormat="1" ht="28.8">
      <c r="A1241" s="271"/>
      <c r="B1241" s="381" t="s">
        <v>2172</v>
      </c>
      <c r="C1241" s="382" t="s">
        <v>711</v>
      </c>
      <c r="D1241" s="383" t="str">
        <f>COMPOSIÇÕES!B64</f>
        <v>SINAPI SP - 08/2023</v>
      </c>
      <c r="E1241" s="388" t="s">
        <v>697</v>
      </c>
      <c r="F1241" s="382" t="s">
        <v>431</v>
      </c>
      <c r="G1241" s="315">
        <v>18</v>
      </c>
      <c r="H1241" s="287">
        <f>SUM(COMPOSIÇÕES!$G$65:$G$67)</f>
        <v>92.32</v>
      </c>
      <c r="I1241" s="287">
        <f>COMPOSIÇÕES!$J$64</f>
        <v>110.32240000000002</v>
      </c>
      <c r="J1241" s="384">
        <f>I1241*G1241</f>
        <v>1985.8032000000003</v>
      </c>
    </row>
    <row r="1242" spans="1:10" s="150" customFormat="1" ht="28.8">
      <c r="A1242" s="271"/>
      <c r="B1242" s="381" t="s">
        <v>2173</v>
      </c>
      <c r="C1242" s="382" t="s">
        <v>711</v>
      </c>
      <c r="D1242" s="383" t="str">
        <f>COMPOSIÇÕES!B68</f>
        <v xml:space="preserve">SINAPI SP - 08/2023 </v>
      </c>
      <c r="E1242" s="388" t="s">
        <v>762</v>
      </c>
      <c r="F1242" s="382" t="s">
        <v>415</v>
      </c>
      <c r="G1242" s="315">
        <v>8</v>
      </c>
      <c r="H1242" s="287">
        <f>SUM(COMPOSIÇÕES!$G$69:$G$70)</f>
        <v>58.91</v>
      </c>
      <c r="I1242" s="287">
        <f>COMPOSIÇÕES!$J$68</f>
        <v>70.397449999999992</v>
      </c>
      <c r="J1242" s="384">
        <f>I1242*G1242</f>
        <v>563.17959999999994</v>
      </c>
    </row>
    <row r="1243" spans="1:10" s="150" customFormat="1" ht="28.8">
      <c r="A1243" s="271"/>
      <c r="B1243" s="381" t="s">
        <v>2174</v>
      </c>
      <c r="C1243" s="399" t="s">
        <v>763</v>
      </c>
      <c r="D1243" s="273" t="str">
        <f>COMPOSIÇÕES!B71</f>
        <v xml:space="preserve">SINAPI SP - 08/2023 </v>
      </c>
      <c r="E1243" s="400" t="s">
        <v>761</v>
      </c>
      <c r="F1243" s="273" t="s">
        <v>541</v>
      </c>
      <c r="G1243" s="316">
        <v>2</v>
      </c>
      <c r="H1243" s="287">
        <f>SUM(COMPOSIÇÕES!$G$72:$G$72)</f>
        <v>28.8</v>
      </c>
      <c r="I1243" s="287">
        <f>COMPOSIÇÕES!$J$71</f>
        <v>34.416000000000004</v>
      </c>
      <c r="J1243" s="384">
        <f>I1243*G1243</f>
        <v>68.832000000000008</v>
      </c>
    </row>
    <row r="1244" spans="1:10" s="150" customFormat="1">
      <c r="A1244" s="271"/>
      <c r="B1244" s="381" t="s">
        <v>2429</v>
      </c>
      <c r="C1244" s="399" t="s">
        <v>759</v>
      </c>
      <c r="D1244" s="273" t="str">
        <f>COMPOSIÇÕES!B73</f>
        <v>FDE - 07/2023</v>
      </c>
      <c r="E1244" s="400" t="s">
        <v>760</v>
      </c>
      <c r="F1244" s="273" t="s">
        <v>701</v>
      </c>
      <c r="G1244" s="316">
        <v>1</v>
      </c>
      <c r="H1244" s="530">
        <f>VLOOKUP(C1244,COMPOSIÇÕES!A:J,6,FALSE)</f>
        <v>38.485355648535567</v>
      </c>
      <c r="I1244" s="287">
        <f>COMPOSIÇÕES!$J$73</f>
        <v>45.99</v>
      </c>
      <c r="J1244" s="384">
        <f>I1244*G1244</f>
        <v>45.99</v>
      </c>
    </row>
    <row r="1245" spans="1:10" s="150" customFormat="1">
      <c r="A1245" s="271"/>
      <c r="B1245" s="381" t="s">
        <v>2454</v>
      </c>
      <c r="C1245" s="399" t="s">
        <v>764</v>
      </c>
      <c r="D1245" s="273" t="str">
        <f>COMPOSIÇÕES!B74</f>
        <v>FDE - 07/2023</v>
      </c>
      <c r="E1245" s="400" t="s">
        <v>765</v>
      </c>
      <c r="F1245" s="273" t="s">
        <v>541</v>
      </c>
      <c r="G1245" s="316">
        <v>3</v>
      </c>
      <c r="H1245" s="530">
        <f>VLOOKUP(C1245,COMPOSIÇÕES!A:J,6,FALSE)</f>
        <v>210.81171548117152</v>
      </c>
      <c r="I1245" s="287">
        <f>COMPOSIÇÕES!$J$74</f>
        <v>251.91999999999996</v>
      </c>
      <c r="J1245" s="384">
        <f>I1245*G1245</f>
        <v>755.75999999999988</v>
      </c>
    </row>
    <row r="1246" spans="1:10" s="263" customFormat="1">
      <c r="B1246" s="579" t="s">
        <v>2211</v>
      </c>
      <c r="C1246" s="580"/>
      <c r="D1246" s="580"/>
      <c r="E1246" s="580"/>
      <c r="F1246" s="580"/>
      <c r="G1246" s="580"/>
      <c r="H1246" s="580"/>
      <c r="I1246" s="581"/>
      <c r="J1246" s="296">
        <f>SUM(J1229:J1245)</f>
        <v>92006.989975457502</v>
      </c>
    </row>
    <row r="1247" spans="1:10" s="263" customFormat="1">
      <c r="B1247" s="237" t="s">
        <v>2175</v>
      </c>
      <c r="C1247" s="238"/>
      <c r="D1247" s="533"/>
      <c r="E1247" s="239" t="s">
        <v>526</v>
      </c>
      <c r="F1247" s="259"/>
      <c r="G1247" s="318"/>
      <c r="H1247" s="300"/>
      <c r="I1247" s="285"/>
      <c r="J1247" s="294"/>
    </row>
    <row r="1248" spans="1:10" s="276" customFormat="1">
      <c r="A1248" s="263"/>
      <c r="B1248" s="381" t="s">
        <v>2176</v>
      </c>
      <c r="C1248" s="382" t="s">
        <v>711</v>
      </c>
      <c r="D1248" s="383" t="str">
        <f>COMPOSIÇÕES!B75</f>
        <v>FDE - 07/2023</v>
      </c>
      <c r="E1248" s="344" t="s">
        <v>745</v>
      </c>
      <c r="F1248" s="382" t="s">
        <v>431</v>
      </c>
      <c r="G1248" s="316">
        <v>88</v>
      </c>
      <c r="H1248" s="290">
        <f>SUM(COMPOSIÇÕES!G76:G78)</f>
        <v>34.013252032520327</v>
      </c>
      <c r="I1248" s="287">
        <f>COMPOSIÇÕES!$J$75</f>
        <v>40.645836178861792</v>
      </c>
      <c r="J1248" s="384">
        <f t="shared" ref="J1248:J1279" si="167">G1248*I1248</f>
        <v>3576.8335837398376</v>
      </c>
    </row>
    <row r="1249" spans="1:10" s="276" customFormat="1">
      <c r="A1249" s="263"/>
      <c r="B1249" s="381" t="s">
        <v>2177</v>
      </c>
      <c r="C1249" s="382" t="s">
        <v>739</v>
      </c>
      <c r="D1249" s="383" t="str">
        <f>COMPOSIÇÕES!B83</f>
        <v>FDE - 07/2023</v>
      </c>
      <c r="E1249" s="344" t="s">
        <v>766</v>
      </c>
      <c r="F1249" s="382" t="s">
        <v>431</v>
      </c>
      <c r="G1249" s="316">
        <v>3</v>
      </c>
      <c r="H1249" s="530">
        <f>VLOOKUP(C1249,COMPOSIÇÕES!A:J,6,FALSE)</f>
        <v>32.35146443514644</v>
      </c>
      <c r="I1249" s="287">
        <f>COMPOSIÇÕES!$J$83</f>
        <v>38.659999999999997</v>
      </c>
      <c r="J1249" s="384">
        <f t="shared" si="167"/>
        <v>115.97999999999999</v>
      </c>
    </row>
    <row r="1250" spans="1:10" s="276" customFormat="1">
      <c r="A1250" s="263"/>
      <c r="B1250" s="381" t="s">
        <v>2178</v>
      </c>
      <c r="C1250" s="382" t="s">
        <v>739</v>
      </c>
      <c r="D1250" s="383" t="str">
        <f t="shared" ref="D1250:D1251" si="168">$D$1249</f>
        <v>FDE - 07/2023</v>
      </c>
      <c r="E1250" s="344" t="s">
        <v>767</v>
      </c>
      <c r="F1250" s="382" t="s">
        <v>431</v>
      </c>
      <c r="G1250" s="316">
        <v>26</v>
      </c>
      <c r="H1250" s="530">
        <f>VLOOKUP(C1250,COMPOSIÇÕES!A:J,6,FALSE)</f>
        <v>32.35146443514644</v>
      </c>
      <c r="I1250" s="287">
        <f>COMPOSIÇÕES!$J$83</f>
        <v>38.659999999999997</v>
      </c>
      <c r="J1250" s="384">
        <f t="shared" si="167"/>
        <v>1005.1599999999999</v>
      </c>
    </row>
    <row r="1251" spans="1:10" s="276" customFormat="1">
      <c r="A1251" s="263"/>
      <c r="B1251" s="381" t="s">
        <v>2179</v>
      </c>
      <c r="C1251" s="382" t="s">
        <v>739</v>
      </c>
      <c r="D1251" s="383" t="str">
        <f t="shared" si="168"/>
        <v>FDE - 07/2023</v>
      </c>
      <c r="E1251" s="344" t="s">
        <v>768</v>
      </c>
      <c r="F1251" s="382" t="s">
        <v>431</v>
      </c>
      <c r="G1251" s="316">
        <v>7</v>
      </c>
      <c r="H1251" s="530">
        <f>VLOOKUP(C1251,COMPOSIÇÕES!A:J,6,FALSE)</f>
        <v>32.35146443514644</v>
      </c>
      <c r="I1251" s="287">
        <f>COMPOSIÇÕES!$J$83</f>
        <v>38.659999999999997</v>
      </c>
      <c r="J1251" s="384">
        <f t="shared" si="167"/>
        <v>270.62</v>
      </c>
    </row>
    <row r="1252" spans="1:10" s="276" customFormat="1">
      <c r="A1252" s="263"/>
      <c r="B1252" s="381" t="s">
        <v>2180</v>
      </c>
      <c r="C1252" s="382" t="s">
        <v>738</v>
      </c>
      <c r="D1252" s="383" t="str">
        <f>COMPOSIÇÕES!B84</f>
        <v>FDE - 07/2023</v>
      </c>
      <c r="E1252" s="344" t="s">
        <v>769</v>
      </c>
      <c r="F1252" s="382" t="s">
        <v>431</v>
      </c>
      <c r="G1252" s="316">
        <v>6</v>
      </c>
      <c r="H1252" s="530">
        <f>VLOOKUP(C1252,COMPOSIÇÕES!A:J,6,FALSE)</f>
        <v>37.087866108786606</v>
      </c>
      <c r="I1252" s="287">
        <f>COMPOSIÇÕES!$J$84</f>
        <v>44.319999999999993</v>
      </c>
      <c r="J1252" s="384">
        <f t="shared" si="167"/>
        <v>265.91999999999996</v>
      </c>
    </row>
    <row r="1253" spans="1:10" s="276" customFormat="1">
      <c r="A1253" s="263"/>
      <c r="B1253" s="381" t="s">
        <v>2181</v>
      </c>
      <c r="C1253" s="382" t="s">
        <v>819</v>
      </c>
      <c r="D1253" s="383" t="str">
        <f>COMPOSIÇÕES!B140</f>
        <v>FDE - 07/2023</v>
      </c>
      <c r="E1253" s="344" t="s">
        <v>820</v>
      </c>
      <c r="F1253" s="382" t="s">
        <v>431</v>
      </c>
      <c r="G1253" s="316">
        <v>3</v>
      </c>
      <c r="H1253" s="530">
        <f>COMPOSIÇÕES!F140</f>
        <v>68.63</v>
      </c>
      <c r="I1253" s="287">
        <f>COMPOSIÇÕES!$J$140</f>
        <v>82.01285</v>
      </c>
      <c r="J1253" s="384">
        <f t="shared" si="167"/>
        <v>246.03854999999999</v>
      </c>
    </row>
    <row r="1254" spans="1:10" s="276" customFormat="1">
      <c r="A1254" s="263"/>
      <c r="B1254" s="381" t="s">
        <v>2182</v>
      </c>
      <c r="C1254" s="382" t="s">
        <v>824</v>
      </c>
      <c r="D1254" s="383" t="str">
        <f>COMPOSIÇÕES!B232</f>
        <v>FDE - 07/2023</v>
      </c>
      <c r="E1254" s="344" t="s">
        <v>829</v>
      </c>
      <c r="F1254" s="382" t="s">
        <v>431</v>
      </c>
      <c r="G1254" s="316">
        <v>1</v>
      </c>
      <c r="H1254" s="530">
        <f>VLOOKUP(C1254,COMPOSIÇÕES!A:J,6,FALSE)</f>
        <v>95.397489539748946</v>
      </c>
      <c r="I1254" s="287">
        <f>COMPOSIÇÕES!$J$232</f>
        <v>114</v>
      </c>
      <c r="J1254" s="384">
        <f t="shared" si="167"/>
        <v>114</v>
      </c>
    </row>
    <row r="1255" spans="1:10" s="276" customFormat="1">
      <c r="A1255" s="263"/>
      <c r="B1255" s="381" t="s">
        <v>2183</v>
      </c>
      <c r="C1255" s="382" t="s">
        <v>824</v>
      </c>
      <c r="D1255" s="383" t="str">
        <f t="shared" ref="D1255:D1256" si="169">$D$1254</f>
        <v>FDE - 07/2023</v>
      </c>
      <c r="E1255" s="344" t="s">
        <v>830</v>
      </c>
      <c r="F1255" s="382" t="s">
        <v>431</v>
      </c>
      <c r="G1255" s="316">
        <v>1</v>
      </c>
      <c r="H1255" s="530">
        <f>VLOOKUP(C1255,COMPOSIÇÕES!A:J,6,FALSE)</f>
        <v>95.397489539748946</v>
      </c>
      <c r="I1255" s="287">
        <f>COMPOSIÇÕES!$J$232</f>
        <v>114</v>
      </c>
      <c r="J1255" s="384">
        <f t="shared" si="167"/>
        <v>114</v>
      </c>
    </row>
    <row r="1256" spans="1:10" s="276" customFormat="1">
      <c r="A1256" s="263"/>
      <c r="B1256" s="381" t="s">
        <v>2184</v>
      </c>
      <c r="C1256" s="382" t="s">
        <v>824</v>
      </c>
      <c r="D1256" s="383" t="str">
        <f t="shared" si="169"/>
        <v>FDE - 07/2023</v>
      </c>
      <c r="E1256" s="344" t="s">
        <v>825</v>
      </c>
      <c r="F1256" s="382" t="s">
        <v>431</v>
      </c>
      <c r="G1256" s="316">
        <v>1</v>
      </c>
      <c r="H1256" s="530">
        <f>VLOOKUP(C1256,COMPOSIÇÕES!A:J,6,FALSE)</f>
        <v>95.397489539748946</v>
      </c>
      <c r="I1256" s="287">
        <f>COMPOSIÇÕES!$J$232</f>
        <v>114</v>
      </c>
      <c r="J1256" s="384">
        <f t="shared" si="167"/>
        <v>114</v>
      </c>
    </row>
    <row r="1257" spans="1:10" s="276" customFormat="1">
      <c r="A1257" s="263"/>
      <c r="B1257" s="381" t="s">
        <v>2185</v>
      </c>
      <c r="C1257" s="382" t="s">
        <v>735</v>
      </c>
      <c r="D1257" s="383" t="str">
        <f>COMPOSIÇÕES!B89</f>
        <v>FDE - 07/2023</v>
      </c>
      <c r="E1257" s="344" t="s">
        <v>736</v>
      </c>
      <c r="F1257" s="382" t="s">
        <v>431</v>
      </c>
      <c r="G1257" s="316">
        <v>55</v>
      </c>
      <c r="H1257" s="530">
        <f>VLOOKUP(C1257,COMPOSIÇÕES!A:J,6,FALSE)</f>
        <v>7.8158995815899575</v>
      </c>
      <c r="I1257" s="287">
        <f>COMPOSIÇÕES!$J$89</f>
        <v>9.34</v>
      </c>
      <c r="J1257" s="384">
        <f t="shared" si="167"/>
        <v>513.70000000000005</v>
      </c>
    </row>
    <row r="1258" spans="1:10" s="276" customFormat="1" ht="28.8">
      <c r="A1258" s="263"/>
      <c r="B1258" s="381" t="s">
        <v>2186</v>
      </c>
      <c r="C1258" s="383" t="str">
        <f>COMPOSIÇÕES!A90</f>
        <v>38.21.110</v>
      </c>
      <c r="D1258" s="383" t="str">
        <f>COMPOSIÇÕES!B90</f>
        <v>CDHU - BOLETIM 191</v>
      </c>
      <c r="E1258" s="344" t="str">
        <f>COMPOSIÇÕES!C90</f>
        <v>Eletrocalha lisa galvanizada a fogo, 50 x 50 mm, com acessórios</v>
      </c>
      <c r="F1258" s="382" t="s">
        <v>412</v>
      </c>
      <c r="G1258" s="316">
        <f>12*3</f>
        <v>36</v>
      </c>
      <c r="H1258" s="530">
        <f>VLOOKUP(C1258,COMPOSIÇÕES!A:J,6,FALSE)</f>
        <v>83.15</v>
      </c>
      <c r="I1258" s="287">
        <f>COMPOSIÇÕES!$J$90</f>
        <v>99.364250000000013</v>
      </c>
      <c r="J1258" s="384">
        <f t="shared" si="167"/>
        <v>3577.1130000000003</v>
      </c>
    </row>
    <row r="1259" spans="1:10" s="276" customFormat="1" ht="28.8">
      <c r="A1259" s="263"/>
      <c r="B1259" s="381" t="s">
        <v>2187</v>
      </c>
      <c r="C1259" s="383" t="str">
        <f>COMPOSIÇÕES!A92</f>
        <v>38.06.040</v>
      </c>
      <c r="D1259" s="383" t="str">
        <f>COMPOSIÇÕES!B92</f>
        <v>CDHU - BOLETIM 191</v>
      </c>
      <c r="E1259" s="344" t="str">
        <f>COMPOSIÇÕES!C92</f>
        <v>Eletroduto galvanizado a quente conforme NBR5598 ‐ 3/4´ com acessórios</v>
      </c>
      <c r="F1259" s="382" t="s">
        <v>412</v>
      </c>
      <c r="G1259" s="316">
        <f>34*3</f>
        <v>102</v>
      </c>
      <c r="H1259" s="530">
        <f>VLOOKUP(C1259,COMPOSIÇÕES!A:J,6,FALSE)</f>
        <v>60.65</v>
      </c>
      <c r="I1259" s="287">
        <f>COMPOSIÇÕES!$J$92</f>
        <v>72.476749999999996</v>
      </c>
      <c r="J1259" s="384">
        <f t="shared" si="167"/>
        <v>7392.6284999999998</v>
      </c>
    </row>
    <row r="1260" spans="1:10" s="276" customFormat="1" ht="28.8">
      <c r="A1260" s="263"/>
      <c r="B1260" s="381" t="s">
        <v>2188</v>
      </c>
      <c r="C1260" s="383" t="str">
        <f>COMPOSIÇÕES!A93</f>
        <v>38.06.060</v>
      </c>
      <c r="D1260" s="383" t="str">
        <f>COMPOSIÇÕES!B93</f>
        <v>CDHU - BOLETIM 191</v>
      </c>
      <c r="E1260" s="344" t="str">
        <f>COMPOSIÇÕES!C93</f>
        <v>Eletroduto galvanizado a quente conforme NBR5598 ‐ 1´ com acessórios</v>
      </c>
      <c r="F1260" s="382" t="s">
        <v>412</v>
      </c>
      <c r="G1260" s="316">
        <f>9*3</f>
        <v>27</v>
      </c>
      <c r="H1260" s="530">
        <f>VLOOKUP(C1260,COMPOSIÇÕES!A:J,6,FALSE)</f>
        <v>75.38</v>
      </c>
      <c r="I1260" s="287">
        <f>COMPOSIÇÕES!$J$93</f>
        <v>90.079099999999997</v>
      </c>
      <c r="J1260" s="384">
        <f t="shared" si="167"/>
        <v>2432.1356999999998</v>
      </c>
    </row>
    <row r="1261" spans="1:10" s="276" customFormat="1" ht="28.8">
      <c r="A1261" s="263"/>
      <c r="B1261" s="381" t="s">
        <v>2189</v>
      </c>
      <c r="C1261" s="383" t="str">
        <f>COMPOSIÇÕES!A142</f>
        <v>38.06.100</v>
      </c>
      <c r="D1261" s="383" t="str">
        <f>COMPOSIÇÕES!B142</f>
        <v>CDHU - BOLETIM 191</v>
      </c>
      <c r="E1261" s="344" t="str">
        <f>COMPOSIÇÕES!C142</f>
        <v>Eletroduto galvanizado a quente conforme NBR5598 ‐ 1 1/2´ com
acessórios</v>
      </c>
      <c r="F1261" s="382" t="s">
        <v>412</v>
      </c>
      <c r="G1261" s="316">
        <f>3*3</f>
        <v>9</v>
      </c>
      <c r="H1261" s="530">
        <f>VLOOKUP(C1261,COMPOSIÇÕES!A:J,6,FALSE)</f>
        <v>111.35</v>
      </c>
      <c r="I1261" s="287">
        <f>COMPOSIÇÕES!$J$142</f>
        <v>133.06324999999998</v>
      </c>
      <c r="J1261" s="384">
        <f t="shared" si="167"/>
        <v>1197.5692499999998</v>
      </c>
    </row>
    <row r="1262" spans="1:10" s="276" customFormat="1" ht="28.8">
      <c r="A1262" s="263"/>
      <c r="B1262" s="381" t="s">
        <v>2190</v>
      </c>
      <c r="C1262" s="383" t="str">
        <f>COMPOSIÇÕES!A191</f>
        <v>38.06.120</v>
      </c>
      <c r="D1262" s="383" t="str">
        <f>COMPOSIÇÕES!B191</f>
        <v>CDHU - BOLETIM 191</v>
      </c>
      <c r="E1262" s="344" t="str">
        <f>COMPOSIÇÕES!C191</f>
        <v>Eletroduto galvanizado a quente conforme NBR5598 ‐ 2´ com acessórios</v>
      </c>
      <c r="F1262" s="382" t="s">
        <v>412</v>
      </c>
      <c r="G1262" s="316">
        <f>8*3</f>
        <v>24</v>
      </c>
      <c r="H1262" s="530">
        <f>VLOOKUP(C1262,COMPOSIÇÕES!A:J,6,FALSE)</f>
        <v>128.12</v>
      </c>
      <c r="I1262" s="287">
        <f>COMPOSIÇÕES!$J$191</f>
        <v>153.10340000000002</v>
      </c>
      <c r="J1262" s="384">
        <f t="shared" si="167"/>
        <v>3674.4816000000005</v>
      </c>
    </row>
    <row r="1263" spans="1:10" s="276" customFormat="1">
      <c r="A1263" s="263"/>
      <c r="B1263" s="381" t="s">
        <v>2191</v>
      </c>
      <c r="C1263" s="382" t="s">
        <v>729</v>
      </c>
      <c r="D1263" s="383" t="str">
        <f>COMPOSIÇÕES!B95</f>
        <v>FDE - 07/2023</v>
      </c>
      <c r="E1263" s="344" t="s">
        <v>730</v>
      </c>
      <c r="F1263" s="382" t="s">
        <v>412</v>
      </c>
      <c r="G1263" s="316">
        <v>1</v>
      </c>
      <c r="H1263" s="530">
        <f>VLOOKUP(C1263,COMPOSIÇÕES!A:J,6,FALSE)</f>
        <v>50.77</v>
      </c>
      <c r="I1263" s="287">
        <f>COMPOSIÇÕES!$J$95</f>
        <v>60.670150000000007</v>
      </c>
      <c r="J1263" s="384">
        <f t="shared" si="167"/>
        <v>60.670150000000007</v>
      </c>
    </row>
    <row r="1264" spans="1:10" s="276" customFormat="1" ht="28.8">
      <c r="A1264" s="263"/>
      <c r="B1264" s="381" t="s">
        <v>2192</v>
      </c>
      <c r="C1264" s="382">
        <v>91927</v>
      </c>
      <c r="D1264" s="383" t="str">
        <f>COMPOSIÇÕES!B96</f>
        <v>SINAPI SP - 08/2023</v>
      </c>
      <c r="E1264" s="344" t="s">
        <v>770</v>
      </c>
      <c r="F1264" s="382" t="s">
        <v>412</v>
      </c>
      <c r="G1264" s="316">
        <v>600</v>
      </c>
      <c r="H1264" s="530">
        <f>VLOOKUP(C1264,COMPOSIÇÕES!A:J,6,FALSE)</f>
        <v>4.8</v>
      </c>
      <c r="I1264" s="287">
        <f>COMPOSIÇÕES!$J$96</f>
        <v>5.7359999999999998</v>
      </c>
      <c r="J1264" s="384">
        <f t="shared" si="167"/>
        <v>3441.6</v>
      </c>
    </row>
    <row r="1265" spans="1:10" s="276" customFormat="1" ht="28.8">
      <c r="A1265" s="263"/>
      <c r="B1265" s="381" t="s">
        <v>2193</v>
      </c>
      <c r="C1265" s="382">
        <v>91927</v>
      </c>
      <c r="D1265" s="383" t="str">
        <f t="shared" ref="D1265:D1267" si="170">$D$1264</f>
        <v>SINAPI SP - 08/2023</v>
      </c>
      <c r="E1265" s="344" t="s">
        <v>771</v>
      </c>
      <c r="F1265" s="382" t="s">
        <v>412</v>
      </c>
      <c r="G1265" s="316">
        <v>500</v>
      </c>
      <c r="H1265" s="530">
        <f>VLOOKUP(C1265,COMPOSIÇÕES!A:J,6,FALSE)</f>
        <v>4.8</v>
      </c>
      <c r="I1265" s="287">
        <f>COMPOSIÇÕES!$J$96</f>
        <v>5.7359999999999998</v>
      </c>
      <c r="J1265" s="384">
        <f t="shared" si="167"/>
        <v>2868</v>
      </c>
    </row>
    <row r="1266" spans="1:10" s="276" customFormat="1" ht="28.8">
      <c r="A1266" s="263"/>
      <c r="B1266" s="381" t="s">
        <v>2194</v>
      </c>
      <c r="C1266" s="382">
        <v>91927</v>
      </c>
      <c r="D1266" s="383" t="str">
        <f t="shared" si="170"/>
        <v>SINAPI SP - 08/2023</v>
      </c>
      <c r="E1266" s="344" t="s">
        <v>772</v>
      </c>
      <c r="F1266" s="382" t="s">
        <v>412</v>
      </c>
      <c r="G1266" s="316">
        <v>500</v>
      </c>
      <c r="H1266" s="530">
        <f>VLOOKUP(C1266,COMPOSIÇÕES!A:J,6,FALSE)</f>
        <v>4.8</v>
      </c>
      <c r="I1266" s="287">
        <f>COMPOSIÇÕES!$J$96</f>
        <v>5.7359999999999998</v>
      </c>
      <c r="J1266" s="384">
        <f t="shared" si="167"/>
        <v>2868</v>
      </c>
    </row>
    <row r="1267" spans="1:10" s="276" customFormat="1" ht="28.8">
      <c r="A1267" s="263"/>
      <c r="B1267" s="381" t="s">
        <v>2195</v>
      </c>
      <c r="C1267" s="382">
        <v>91927</v>
      </c>
      <c r="D1267" s="383" t="str">
        <f t="shared" si="170"/>
        <v>SINAPI SP - 08/2023</v>
      </c>
      <c r="E1267" s="344" t="s">
        <v>773</v>
      </c>
      <c r="F1267" s="382" t="s">
        <v>412</v>
      </c>
      <c r="G1267" s="316">
        <v>200</v>
      </c>
      <c r="H1267" s="530">
        <f>VLOOKUP(C1267,COMPOSIÇÕES!A:J,6,FALSE)</f>
        <v>4.8</v>
      </c>
      <c r="I1267" s="287">
        <f>COMPOSIÇÕES!$J$96</f>
        <v>5.7359999999999998</v>
      </c>
      <c r="J1267" s="384">
        <f t="shared" si="167"/>
        <v>1147.2</v>
      </c>
    </row>
    <row r="1268" spans="1:10" s="276" customFormat="1" ht="28.8">
      <c r="A1268" s="263"/>
      <c r="B1268" s="381" t="s">
        <v>2196</v>
      </c>
      <c r="C1268" s="382">
        <v>91929</v>
      </c>
      <c r="D1268" s="383" t="str">
        <f>COMPOSIÇÕES!B97</f>
        <v>SINAPI SP - 08/2023</v>
      </c>
      <c r="E1268" s="344" t="s">
        <v>774</v>
      </c>
      <c r="F1268" s="382" t="s">
        <v>412</v>
      </c>
      <c r="G1268" s="316">
        <v>50</v>
      </c>
      <c r="H1268" s="530">
        <f>VLOOKUP(C1268,COMPOSIÇÕES!A:J,6,FALSE)</f>
        <v>6.92</v>
      </c>
      <c r="I1268" s="287">
        <f>COMPOSIÇÕES!$J$97</f>
        <v>8.2693999999999992</v>
      </c>
      <c r="J1268" s="384">
        <f t="shared" si="167"/>
        <v>413.46999999999997</v>
      </c>
    </row>
    <row r="1269" spans="1:10" s="276" customFormat="1" ht="28.8">
      <c r="A1269" s="263"/>
      <c r="B1269" s="381" t="s">
        <v>2197</v>
      </c>
      <c r="C1269" s="382">
        <v>91929</v>
      </c>
      <c r="D1269" s="383" t="str">
        <f t="shared" ref="D1269:D1271" si="171">$D$1268</f>
        <v>SINAPI SP - 08/2023</v>
      </c>
      <c r="E1269" s="344" t="s">
        <v>775</v>
      </c>
      <c r="F1269" s="382" t="s">
        <v>412</v>
      </c>
      <c r="G1269" s="316">
        <v>50</v>
      </c>
      <c r="H1269" s="530">
        <f>VLOOKUP(C1269,COMPOSIÇÕES!A:J,6,FALSE)</f>
        <v>6.92</v>
      </c>
      <c r="I1269" s="287">
        <f>COMPOSIÇÕES!$J$97</f>
        <v>8.2693999999999992</v>
      </c>
      <c r="J1269" s="384">
        <f t="shared" si="167"/>
        <v>413.46999999999997</v>
      </c>
    </row>
    <row r="1270" spans="1:10" s="276" customFormat="1" ht="28.8">
      <c r="A1270" s="263"/>
      <c r="B1270" s="381" t="s">
        <v>2198</v>
      </c>
      <c r="C1270" s="382">
        <v>91929</v>
      </c>
      <c r="D1270" s="383" t="str">
        <f t="shared" si="171"/>
        <v>SINAPI SP - 08/2023</v>
      </c>
      <c r="E1270" s="344" t="s">
        <v>835</v>
      </c>
      <c r="F1270" s="382" t="s">
        <v>412</v>
      </c>
      <c r="G1270" s="316">
        <v>50</v>
      </c>
      <c r="H1270" s="530">
        <f>VLOOKUP(C1270,COMPOSIÇÕES!A:J,6,FALSE)</f>
        <v>6.92</v>
      </c>
      <c r="I1270" s="287">
        <f>COMPOSIÇÕES!$J$97</f>
        <v>8.2693999999999992</v>
      </c>
      <c r="J1270" s="384">
        <f t="shared" si="167"/>
        <v>413.46999999999997</v>
      </c>
    </row>
    <row r="1271" spans="1:10" s="276" customFormat="1" ht="28.8">
      <c r="A1271" s="263"/>
      <c r="B1271" s="381" t="s">
        <v>2199</v>
      </c>
      <c r="C1271" s="382">
        <v>91929</v>
      </c>
      <c r="D1271" s="383" t="str">
        <f t="shared" si="171"/>
        <v>SINAPI SP - 08/2023</v>
      </c>
      <c r="E1271" s="344" t="s">
        <v>776</v>
      </c>
      <c r="F1271" s="382" t="s">
        <v>412</v>
      </c>
      <c r="G1271" s="316">
        <v>100</v>
      </c>
      <c r="H1271" s="530">
        <f>VLOOKUP(C1271,COMPOSIÇÕES!A:J,6,FALSE)</f>
        <v>6.92</v>
      </c>
      <c r="I1271" s="287">
        <f>COMPOSIÇÕES!$J$97</f>
        <v>8.2693999999999992</v>
      </c>
      <c r="J1271" s="384">
        <f t="shared" si="167"/>
        <v>826.93999999999994</v>
      </c>
    </row>
    <row r="1272" spans="1:10" s="276" customFormat="1" ht="28.8">
      <c r="A1272" s="263"/>
      <c r="B1272" s="381" t="s">
        <v>2200</v>
      </c>
      <c r="C1272" s="382">
        <v>92986</v>
      </c>
      <c r="D1272" s="383" t="str">
        <f>COMPOSIÇÕES!B164</f>
        <v>SINAPI SP - 08/2023</v>
      </c>
      <c r="E1272" s="344" t="s">
        <v>857</v>
      </c>
      <c r="F1272" s="382" t="s">
        <v>412</v>
      </c>
      <c r="G1272" s="316">
        <v>35</v>
      </c>
      <c r="H1272" s="530">
        <f>VLOOKUP(C1272,COMPOSIÇÕES!A:J,6,FALSE)</f>
        <v>32.17</v>
      </c>
      <c r="I1272" s="287">
        <f>COMPOSIÇÕES!$J$164</f>
        <v>38.443150000000003</v>
      </c>
      <c r="J1272" s="384">
        <f t="shared" si="167"/>
        <v>1345.51025</v>
      </c>
    </row>
    <row r="1273" spans="1:10" s="276" customFormat="1" ht="28.8">
      <c r="A1273" s="263"/>
      <c r="B1273" s="381" t="s">
        <v>2201</v>
      </c>
      <c r="C1273" s="382">
        <v>92990</v>
      </c>
      <c r="D1273" s="383" t="str">
        <f>COMPOSIÇÕES!B165</f>
        <v>SINAPI SP - 08/2023</v>
      </c>
      <c r="E1273" s="344" t="s">
        <v>853</v>
      </c>
      <c r="F1273" s="382" t="s">
        <v>412</v>
      </c>
      <c r="G1273" s="316">
        <v>35</v>
      </c>
      <c r="H1273" s="530">
        <f>VLOOKUP(C1273,COMPOSIÇÕES!A:J,6,FALSE)</f>
        <v>63.26</v>
      </c>
      <c r="I1273" s="287">
        <f>COMPOSIÇÕES!$J$165</f>
        <v>75.595699999999994</v>
      </c>
      <c r="J1273" s="384">
        <f t="shared" si="167"/>
        <v>2645.8494999999998</v>
      </c>
    </row>
    <row r="1274" spans="1:10" s="276" customFormat="1" ht="28.8">
      <c r="A1274" s="263"/>
      <c r="B1274" s="381" t="s">
        <v>2202</v>
      </c>
      <c r="C1274" s="382">
        <v>92990</v>
      </c>
      <c r="D1274" s="383" t="str">
        <f t="shared" ref="D1274:D1276" si="172">$D$1273</f>
        <v>SINAPI SP - 08/2023</v>
      </c>
      <c r="E1274" s="344" t="s">
        <v>854</v>
      </c>
      <c r="F1274" s="382" t="s">
        <v>412</v>
      </c>
      <c r="G1274" s="316">
        <v>35</v>
      </c>
      <c r="H1274" s="530">
        <f>VLOOKUP(C1274,COMPOSIÇÕES!A:J,6,FALSE)</f>
        <v>63.26</v>
      </c>
      <c r="I1274" s="287">
        <f>COMPOSIÇÕES!$J$165</f>
        <v>75.595699999999994</v>
      </c>
      <c r="J1274" s="384">
        <f t="shared" si="167"/>
        <v>2645.8494999999998</v>
      </c>
    </row>
    <row r="1275" spans="1:10" s="276" customFormat="1" ht="28.8">
      <c r="A1275" s="263"/>
      <c r="B1275" s="381" t="s">
        <v>2203</v>
      </c>
      <c r="C1275" s="382">
        <v>92990</v>
      </c>
      <c r="D1275" s="383" t="str">
        <f t="shared" si="172"/>
        <v>SINAPI SP - 08/2023</v>
      </c>
      <c r="E1275" s="344" t="s">
        <v>855</v>
      </c>
      <c r="F1275" s="382" t="s">
        <v>412</v>
      </c>
      <c r="G1275" s="316">
        <v>35</v>
      </c>
      <c r="H1275" s="530">
        <f>VLOOKUP(C1275,COMPOSIÇÕES!A:J,6,FALSE)</f>
        <v>63.26</v>
      </c>
      <c r="I1275" s="287">
        <f>COMPOSIÇÕES!$J$165</f>
        <v>75.595699999999994</v>
      </c>
      <c r="J1275" s="384">
        <f t="shared" si="167"/>
        <v>2645.8494999999998</v>
      </c>
    </row>
    <row r="1276" spans="1:10" s="276" customFormat="1" ht="28.8">
      <c r="A1276" s="263"/>
      <c r="B1276" s="381" t="s">
        <v>2204</v>
      </c>
      <c r="C1276" s="382">
        <v>92990</v>
      </c>
      <c r="D1276" s="383" t="str">
        <f t="shared" si="172"/>
        <v>SINAPI SP - 08/2023</v>
      </c>
      <c r="E1276" s="344" t="s">
        <v>856</v>
      </c>
      <c r="F1276" s="382" t="s">
        <v>412</v>
      </c>
      <c r="G1276" s="316">
        <v>35</v>
      </c>
      <c r="H1276" s="530">
        <f>VLOOKUP(C1276,COMPOSIÇÕES!A:J,6,FALSE)</f>
        <v>63.26</v>
      </c>
      <c r="I1276" s="287">
        <f>COMPOSIÇÕES!$J$165</f>
        <v>75.595699999999994</v>
      </c>
      <c r="J1276" s="384">
        <f t="shared" si="167"/>
        <v>2645.8494999999998</v>
      </c>
    </row>
    <row r="1277" spans="1:10" s="276" customFormat="1">
      <c r="A1277" s="263"/>
      <c r="B1277" s="381" t="s">
        <v>2205</v>
      </c>
      <c r="C1277" s="382" t="s">
        <v>711</v>
      </c>
      <c r="D1277" s="383" t="str">
        <f>COMPOSIÇÕES!B144</f>
        <v>FDE - 07/2023</v>
      </c>
      <c r="E1277" s="344" t="s">
        <v>871</v>
      </c>
      <c r="F1277" s="382" t="s">
        <v>431</v>
      </c>
      <c r="G1277" s="316">
        <v>4</v>
      </c>
      <c r="H1277" s="530">
        <f>COMPOSIÇÕES!F144</f>
        <v>28.62</v>
      </c>
      <c r="I1277" s="287">
        <f>COMPOSIÇÕES!$J$144</f>
        <v>34.200900000000004</v>
      </c>
      <c r="J1277" s="384">
        <f t="shared" si="167"/>
        <v>136.80360000000002</v>
      </c>
    </row>
    <row r="1278" spans="1:10" s="276" customFormat="1">
      <c r="A1278" s="263"/>
      <c r="B1278" s="381" t="s">
        <v>2206</v>
      </c>
      <c r="C1278" s="382" t="s">
        <v>711</v>
      </c>
      <c r="D1278" s="383" t="str">
        <f>COMPOSIÇÕES!B166</f>
        <v>FDE - 07/2023</v>
      </c>
      <c r="E1278" s="344" t="s">
        <v>872</v>
      </c>
      <c r="F1278" s="382" t="s">
        <v>431</v>
      </c>
      <c r="G1278" s="316">
        <v>12</v>
      </c>
      <c r="H1278" s="530">
        <f>COMPOSIÇÕES!F166</f>
        <v>47.32</v>
      </c>
      <c r="I1278" s="287">
        <f>COMPOSIÇÕES!$J$166</f>
        <v>56.547400000000003</v>
      </c>
      <c r="J1278" s="384">
        <f t="shared" si="167"/>
        <v>678.56880000000001</v>
      </c>
    </row>
    <row r="1279" spans="1:10" s="263" customFormat="1" ht="72">
      <c r="B1279" s="381" t="s">
        <v>2207</v>
      </c>
      <c r="C1279" s="275" t="s">
        <v>711</v>
      </c>
      <c r="D1279" s="277" t="str">
        <f>COMPOSIÇÕES!B309</f>
        <v>CDHU - BOLETIM 191 + FDE - 07/2023 + SINAPI SP - 08/2023</v>
      </c>
      <c r="E1279" s="278" t="s">
        <v>1013</v>
      </c>
      <c r="F1279" s="275" t="s">
        <v>530</v>
      </c>
      <c r="G1279" s="313">
        <v>1</v>
      </c>
      <c r="H1279" s="301">
        <f>SUM(COMPOSIÇÕES!G310:G316)</f>
        <v>7815.4516719665262</v>
      </c>
      <c r="I1279" s="286">
        <f>COMPOSIÇÕES!$J$309</f>
        <v>9339.4647480000003</v>
      </c>
      <c r="J1279" s="295">
        <f t="shared" si="167"/>
        <v>9339.4647480000003</v>
      </c>
    </row>
    <row r="1280" spans="1:10" s="263" customFormat="1">
      <c r="B1280" s="579" t="s">
        <v>2212</v>
      </c>
      <c r="C1280" s="580"/>
      <c r="D1280" s="580"/>
      <c r="E1280" s="580"/>
      <c r="F1280" s="580"/>
      <c r="G1280" s="580"/>
      <c r="H1280" s="580"/>
      <c r="I1280" s="581"/>
      <c r="J1280" s="296">
        <f>SUM(J1248:J1279)</f>
        <v>59146.745731739822</v>
      </c>
    </row>
    <row r="1281" spans="1:10" s="263" customFormat="1">
      <c r="B1281" s="237" t="s">
        <v>2208</v>
      </c>
      <c r="C1281" s="238"/>
      <c r="D1281" s="533"/>
      <c r="E1281" s="239" t="s">
        <v>650</v>
      </c>
      <c r="F1281" s="238"/>
      <c r="G1281" s="312"/>
      <c r="H1281" s="300"/>
      <c r="I1281" s="285"/>
      <c r="J1281" s="294"/>
    </row>
    <row r="1282" spans="1:10" s="276" customFormat="1">
      <c r="A1282" s="263"/>
      <c r="B1282" s="381" t="s">
        <v>2209</v>
      </c>
      <c r="C1282" s="382" t="s">
        <v>708</v>
      </c>
      <c r="D1282" s="383" t="str">
        <f>COMPOSIÇÕES!B115</f>
        <v>FDE - 07/2023</v>
      </c>
      <c r="E1282" s="344" t="s">
        <v>651</v>
      </c>
      <c r="F1282" s="382" t="s">
        <v>541</v>
      </c>
      <c r="G1282" s="316">
        <v>100</v>
      </c>
      <c r="H1282" s="290">
        <f>COMPOSIÇÕES!$G$116</f>
        <v>5.116260162601626</v>
      </c>
      <c r="I1282" s="287">
        <f>COMPOSIÇÕES!$J$115</f>
        <v>6.1139308943089432</v>
      </c>
      <c r="J1282" s="384">
        <f>G1282*I1282</f>
        <v>611.39308943089429</v>
      </c>
    </row>
    <row r="1283" spans="1:10" s="263" customFormat="1">
      <c r="B1283" s="579" t="s">
        <v>2213</v>
      </c>
      <c r="C1283" s="580"/>
      <c r="D1283" s="580"/>
      <c r="E1283" s="580"/>
      <c r="F1283" s="580"/>
      <c r="G1283" s="580"/>
      <c r="H1283" s="580"/>
      <c r="I1283" s="581"/>
      <c r="J1283" s="296">
        <f>J1282</f>
        <v>611.39308943089429</v>
      </c>
    </row>
    <row r="1284" spans="1:10" s="263" customFormat="1" ht="25.5" customHeight="1" thickBot="1">
      <c r="B1284" s="564" t="s">
        <v>678</v>
      </c>
      <c r="C1284" s="565"/>
      <c r="D1284" s="565"/>
      <c r="E1284" s="565"/>
      <c r="F1284" s="565"/>
      <c r="G1284" s="565"/>
      <c r="H1284" s="565"/>
      <c r="I1284" s="566"/>
      <c r="J1284" s="297">
        <f>J1227+J1246+J1280+J1283</f>
        <v>154297.36785412821</v>
      </c>
    </row>
    <row r="1285" spans="1:10" s="263" customFormat="1">
      <c r="B1285" s="264" t="s">
        <v>2214</v>
      </c>
      <c r="C1285" s="265"/>
      <c r="D1285" s="534"/>
      <c r="E1285" s="266" t="s">
        <v>533</v>
      </c>
      <c r="F1285" s="265"/>
      <c r="G1285" s="310"/>
      <c r="H1285" s="298"/>
      <c r="I1285" s="283"/>
      <c r="J1285" s="292"/>
    </row>
    <row r="1286" spans="1:10" s="263" customFormat="1" ht="6" customHeight="1">
      <c r="B1286" s="234"/>
      <c r="C1286" s="235"/>
      <c r="D1286" s="532"/>
      <c r="E1286" s="236"/>
      <c r="F1286" s="235"/>
      <c r="G1286" s="311"/>
      <c r="H1286" s="299"/>
      <c r="I1286" s="284"/>
      <c r="J1286" s="293"/>
    </row>
    <row r="1287" spans="1:10" s="263" customFormat="1">
      <c r="B1287" s="237" t="s">
        <v>2215</v>
      </c>
      <c r="C1287" s="238"/>
      <c r="D1287" s="533"/>
      <c r="E1287" s="239" t="s">
        <v>483</v>
      </c>
      <c r="F1287" s="238"/>
      <c r="G1287" s="312"/>
      <c r="H1287" s="300"/>
      <c r="I1287" s="285"/>
      <c r="J1287" s="294"/>
    </row>
    <row r="1288" spans="1:10" s="150" customFormat="1">
      <c r="B1288" s="381" t="s">
        <v>2216</v>
      </c>
      <c r="C1288" s="382" t="str">
        <f t="shared" ref="C1288:J1288" si="173">C1225</f>
        <v>16.06.076</v>
      </c>
      <c r="D1288" s="383" t="str">
        <f t="shared" si="173"/>
        <v>FDE - 07/2023</v>
      </c>
      <c r="E1288" s="344" t="str">
        <f t="shared" si="173"/>
        <v>FORNECIMENTO E INSTALAÇAO DE PLACAS DE OBRA</v>
      </c>
      <c r="F1288" s="382" t="str">
        <f t="shared" si="173"/>
        <v>M²</v>
      </c>
      <c r="G1288" s="316">
        <f t="shared" si="173"/>
        <v>5</v>
      </c>
      <c r="H1288" s="290">
        <f t="shared" si="173"/>
        <v>407.8057</v>
      </c>
      <c r="I1288" s="287">
        <f t="shared" si="173"/>
        <v>487.3278115</v>
      </c>
      <c r="J1288" s="384">
        <f t="shared" si="173"/>
        <v>2436.6390575</v>
      </c>
    </row>
    <row r="1289" spans="1:10" s="276" customFormat="1" ht="28.8">
      <c r="B1289" s="381" t="s">
        <v>2217</v>
      </c>
      <c r="C1289" s="382">
        <f t="shared" ref="C1289:J1289" si="174">C1226</f>
        <v>37524</v>
      </c>
      <c r="D1289" s="383" t="str">
        <f t="shared" si="174"/>
        <v>SINAPI SP - 08/2023</v>
      </c>
      <c r="E1289" s="344" t="str">
        <f t="shared" si="174"/>
        <v>TELA PLASTICA LARANJA, TIPO TAPUME PARA SINALIZACAO, MALHA RETANGULAR, ROLO 1.20 X 50 M (L X C)</v>
      </c>
      <c r="F1289" s="382" t="str">
        <f t="shared" si="174"/>
        <v>M²</v>
      </c>
      <c r="G1289" s="316">
        <f t="shared" si="174"/>
        <v>40</v>
      </c>
      <c r="H1289" s="290">
        <f t="shared" si="174"/>
        <v>2</v>
      </c>
      <c r="I1289" s="287">
        <f t="shared" si="174"/>
        <v>2.39</v>
      </c>
      <c r="J1289" s="384">
        <f t="shared" si="174"/>
        <v>95.600000000000009</v>
      </c>
    </row>
    <row r="1290" spans="1:10" s="263" customFormat="1">
      <c r="B1290" s="579" t="s">
        <v>2261</v>
      </c>
      <c r="C1290" s="580"/>
      <c r="D1290" s="580"/>
      <c r="E1290" s="580"/>
      <c r="F1290" s="580"/>
      <c r="G1290" s="580"/>
      <c r="H1290" s="580"/>
      <c r="I1290" s="581"/>
      <c r="J1290" s="296">
        <f>SUM(J1288:J1289)</f>
        <v>2532.2390574999999</v>
      </c>
    </row>
    <row r="1291" spans="1:10" s="263" customFormat="1">
      <c r="B1291" s="237" t="s">
        <v>2218</v>
      </c>
      <c r="C1291" s="238"/>
      <c r="D1291" s="533"/>
      <c r="E1291" s="239" t="s">
        <v>525</v>
      </c>
      <c r="F1291" s="238"/>
      <c r="G1291" s="312"/>
      <c r="H1291" s="300"/>
      <c r="I1291" s="285"/>
      <c r="J1291" s="294"/>
    </row>
    <row r="1292" spans="1:10" s="276" customFormat="1" ht="28.8">
      <c r="B1292" s="381" t="s">
        <v>2219</v>
      </c>
      <c r="C1292" s="382" t="s">
        <v>711</v>
      </c>
      <c r="D1292" s="383" t="str">
        <f>COMPOSIÇÕES!B10</f>
        <v>SINAPI SP - 08/2023</v>
      </c>
      <c r="E1292" s="487" t="s">
        <v>2404</v>
      </c>
      <c r="F1292" s="382" t="s">
        <v>431</v>
      </c>
      <c r="G1292" s="315">
        <v>15</v>
      </c>
      <c r="H1292" s="290">
        <f>SUM(COMPOSIÇÕES!G11:G13)</f>
        <v>328.17395199999999</v>
      </c>
      <c r="I1292" s="287">
        <f>COMPOSIÇÕES!J10</f>
        <v>392.16787263999993</v>
      </c>
      <c r="J1292" s="384">
        <f>G1292*I1292</f>
        <v>5882.5180895999993</v>
      </c>
    </row>
    <row r="1293" spans="1:10" s="150" customFormat="1" ht="86.4">
      <c r="B1293" s="381" t="s">
        <v>2220</v>
      </c>
      <c r="C1293" s="382" t="s">
        <v>711</v>
      </c>
      <c r="D1293" s="383" t="str">
        <f>COMPOSIÇÕES!B14</f>
        <v>SINAPI SP - 08/2023</v>
      </c>
      <c r="E1293" s="344" t="s">
        <v>754</v>
      </c>
      <c r="F1293" s="382" t="s">
        <v>412</v>
      </c>
      <c r="G1293" s="317">
        <v>20</v>
      </c>
      <c r="H1293" s="290">
        <f>SUM(COMPOSIÇÕES!G15:G18)</f>
        <v>37.264400000000002</v>
      </c>
      <c r="I1293" s="287">
        <f>COMPOSIÇÕES!$J$14</f>
        <v>44.530958000000005</v>
      </c>
      <c r="J1293" s="384">
        <f t="shared" ref="J1293" si="175">J1230</f>
        <v>1202.3358660000001</v>
      </c>
    </row>
    <row r="1294" spans="1:10" s="150" customFormat="1" ht="86.4">
      <c r="B1294" s="381" t="s">
        <v>2221</v>
      </c>
      <c r="C1294" s="382" t="s">
        <v>711</v>
      </c>
      <c r="D1294" s="383" t="str">
        <f>COMPOSIÇÕES!B19</f>
        <v>SINAPI SP - 08/2023</v>
      </c>
      <c r="E1294" s="344" t="s">
        <v>755</v>
      </c>
      <c r="F1294" s="382" t="s">
        <v>412</v>
      </c>
      <c r="G1294" s="317">
        <v>20</v>
      </c>
      <c r="H1294" s="290">
        <f>SUM(COMPOSIÇÕES!G20:G23)</f>
        <v>69.234999999999985</v>
      </c>
      <c r="I1294" s="287">
        <f>COMPOSIÇÕES!$J$19</f>
        <v>82.735824999999991</v>
      </c>
      <c r="J1294" s="384">
        <f t="shared" ref="J1294:J1303" si="176">G1294*I1294</f>
        <v>1654.7164999999998</v>
      </c>
    </row>
    <row r="1295" spans="1:10" s="150" customFormat="1" ht="86.4">
      <c r="B1295" s="381" t="s">
        <v>2222</v>
      </c>
      <c r="C1295" s="382" t="s">
        <v>711</v>
      </c>
      <c r="D1295" s="383" t="str">
        <f>COMPOSIÇÕES!B24</f>
        <v>SINAPI SP - 08/2023</v>
      </c>
      <c r="E1295" s="344" t="s">
        <v>747</v>
      </c>
      <c r="F1295" s="382" t="s">
        <v>412</v>
      </c>
      <c r="G1295" s="317">
        <v>84</v>
      </c>
      <c r="H1295" s="290">
        <f>SUM(COMPOSIÇÕES!G25:G28)</f>
        <v>53.322000000000003</v>
      </c>
      <c r="I1295" s="287">
        <f>COMPOSIÇÕES!$J$24</f>
        <v>63.719789999999996</v>
      </c>
      <c r="J1295" s="384">
        <f t="shared" si="176"/>
        <v>5352.4623599999995</v>
      </c>
    </row>
    <row r="1296" spans="1:10" s="393" customFormat="1" ht="86.4">
      <c r="A1296" s="150"/>
      <c r="B1296" s="381" t="s">
        <v>2223</v>
      </c>
      <c r="C1296" s="394" t="s">
        <v>711</v>
      </c>
      <c r="D1296" s="389" t="str">
        <f>COMPOSIÇÕES!B29</f>
        <v xml:space="preserve">SINAPI SP - 08/2023 </v>
      </c>
      <c r="E1296" s="395" t="s">
        <v>748</v>
      </c>
      <c r="F1296" s="394" t="s">
        <v>412</v>
      </c>
      <c r="G1296" s="315">
        <v>84</v>
      </c>
      <c r="H1296" s="392">
        <f>SUM(COMPOSIÇÕES!G30:G33)</f>
        <v>85.438000000000002</v>
      </c>
      <c r="I1296" s="396">
        <f>COMPOSIÇÕES!$J$29</f>
        <v>102.09840999999999</v>
      </c>
      <c r="J1296" s="397">
        <f t="shared" si="176"/>
        <v>8576.2664399999994</v>
      </c>
    </row>
    <row r="1297" spans="1:10" s="393" customFormat="1" ht="28.8">
      <c r="A1297" s="150"/>
      <c r="B1297" s="381" t="s">
        <v>2224</v>
      </c>
      <c r="C1297" s="394" t="str">
        <f t="shared" ref="C1297:I1297" si="177">C1234</f>
        <v>22.02.030</v>
      </c>
      <c r="D1297" s="389" t="str">
        <f t="shared" si="177"/>
        <v>CDHU - BOLETIM 191</v>
      </c>
      <c r="E1297" s="395" t="str">
        <f t="shared" si="177"/>
        <v>Forro em painéis de gesso acartonado, espessura de 12,5mm, fixo</v>
      </c>
      <c r="F1297" s="394" t="str">
        <f t="shared" si="177"/>
        <v>M²</v>
      </c>
      <c r="G1297" s="315">
        <f>7*0.55*2*9</f>
        <v>69.300000000000011</v>
      </c>
      <c r="H1297" s="392">
        <f t="shared" si="177"/>
        <v>99.47</v>
      </c>
      <c r="I1297" s="396">
        <f t="shared" si="177"/>
        <v>118.86664999999999</v>
      </c>
      <c r="J1297" s="397">
        <f t="shared" si="176"/>
        <v>8237.458845000001</v>
      </c>
    </row>
    <row r="1298" spans="1:10" s="150" customFormat="1" ht="57.6">
      <c r="B1298" s="381" t="s">
        <v>2225</v>
      </c>
      <c r="C1298" s="382" t="s">
        <v>711</v>
      </c>
      <c r="D1298" s="383" t="str">
        <f>COMPOSIÇÕES!B36</f>
        <v xml:space="preserve">SINAPI SP - 08/2023 </v>
      </c>
      <c r="E1298" s="398" t="s">
        <v>756</v>
      </c>
      <c r="F1298" s="382" t="s">
        <v>413</v>
      </c>
      <c r="G1298" s="315">
        <v>450</v>
      </c>
      <c r="H1298" s="287">
        <f>SUM(COMPOSIÇÕES!G37:G39)</f>
        <v>84.94</v>
      </c>
      <c r="I1298" s="287">
        <f>COMPOSIÇÕES!$J$36</f>
        <v>101.5033</v>
      </c>
      <c r="J1298" s="384">
        <f t="shared" si="176"/>
        <v>45676.485000000001</v>
      </c>
    </row>
    <row r="1299" spans="1:10" s="335" customFormat="1" ht="28.8">
      <c r="A1299" s="150"/>
      <c r="B1299" s="381" t="s">
        <v>2226</v>
      </c>
      <c r="C1299" s="383" t="str">
        <f>COMPOSIÇÕES!A44</f>
        <v>61.10.565</v>
      </c>
      <c r="D1299" s="383" t="str">
        <f>COMPOSIÇÕES!B44</f>
        <v>CDHU - BOLETIM 191</v>
      </c>
      <c r="E1299" s="388" t="s">
        <v>1042</v>
      </c>
      <c r="F1299" s="382" t="s">
        <v>431</v>
      </c>
      <c r="G1299" s="315">
        <v>6</v>
      </c>
      <c r="H1299" s="287">
        <f>COMPOSIÇÕES!G45</f>
        <v>248.91654375000002</v>
      </c>
      <c r="I1299" s="287">
        <f>COMPOSIÇÕES!$J$44</f>
        <v>297.45526978125002</v>
      </c>
      <c r="J1299" s="384">
        <f t="shared" si="176"/>
        <v>1784.7316186875</v>
      </c>
    </row>
    <row r="1300" spans="1:10" s="335" customFormat="1" ht="28.8">
      <c r="A1300" s="150"/>
      <c r="B1300" s="381" t="s">
        <v>2227</v>
      </c>
      <c r="C1300" s="383" t="str">
        <f>COMPOSIÇÕES!A46</f>
        <v>61.10.564</v>
      </c>
      <c r="D1300" s="383" t="str">
        <f>COMPOSIÇÕES!B46</f>
        <v>CDHU - BOLETIM 191</v>
      </c>
      <c r="E1300" s="388" t="s">
        <v>1043</v>
      </c>
      <c r="F1300" s="382" t="s">
        <v>431</v>
      </c>
      <c r="G1300" s="315">
        <v>3</v>
      </c>
      <c r="H1300" s="287">
        <f>COMPOSIÇÕES!G47</f>
        <v>49.947131250000005</v>
      </c>
      <c r="I1300" s="287">
        <f>COMPOSIÇÕES!$J$46</f>
        <v>59.68682184375001</v>
      </c>
      <c r="J1300" s="384">
        <f t="shared" si="176"/>
        <v>179.06046553125003</v>
      </c>
    </row>
    <row r="1301" spans="1:10" s="150" customFormat="1" ht="28.8">
      <c r="B1301" s="381" t="s">
        <v>2228</v>
      </c>
      <c r="C1301" s="383" t="str">
        <f>COMPOSIÇÕES!A124</f>
        <v>61.10.581</v>
      </c>
      <c r="D1301" s="383" t="str">
        <f>COMPOSIÇÕES!B124</f>
        <v>CDHU - BOLETIM 191</v>
      </c>
      <c r="E1301" s="388" t="s">
        <v>1119</v>
      </c>
      <c r="F1301" s="382" t="s">
        <v>431</v>
      </c>
      <c r="G1301" s="317">
        <v>6</v>
      </c>
      <c r="H1301" s="287">
        <f>SUM(COMPOSIÇÕES!$G$125:$G$125)</f>
        <v>203.34</v>
      </c>
      <c r="I1301" s="287">
        <f>COMPOSIÇÕES!$J$124</f>
        <v>242.9913</v>
      </c>
      <c r="J1301" s="384">
        <f t="shared" si="176"/>
        <v>1457.9477999999999</v>
      </c>
    </row>
    <row r="1302" spans="1:10" s="150" customFormat="1" ht="28.8">
      <c r="B1302" s="381" t="s">
        <v>2229</v>
      </c>
      <c r="C1302" s="383" t="str">
        <f>COMPOSIÇÕES!A56</f>
        <v>61.10.581</v>
      </c>
      <c r="D1302" s="383" t="str">
        <f>COMPOSIÇÕES!B56</f>
        <v>CDHU - BOLETIM 191</v>
      </c>
      <c r="E1302" s="388" t="s">
        <v>1117</v>
      </c>
      <c r="F1302" s="382" t="s">
        <v>431</v>
      </c>
      <c r="G1302" s="315">
        <v>3</v>
      </c>
      <c r="H1302" s="287">
        <f>COMPOSIÇÕES!G57</f>
        <v>16.945000000000004</v>
      </c>
      <c r="I1302" s="287">
        <f>COMPOSIÇÕES!$J$56</f>
        <v>20.249275000000004</v>
      </c>
      <c r="J1302" s="384">
        <f t="shared" si="176"/>
        <v>60.747825000000013</v>
      </c>
    </row>
    <row r="1303" spans="1:10" s="150" customFormat="1" ht="28.8">
      <c r="A1303" s="271"/>
      <c r="B1303" s="381" t="s">
        <v>2230</v>
      </c>
      <c r="C1303" s="382" t="s">
        <v>711</v>
      </c>
      <c r="D1303" s="383" t="str">
        <f>COMPOSIÇÕES!B58</f>
        <v xml:space="preserve">SINAPI SP - 08/2023 </v>
      </c>
      <c r="E1303" s="388" t="s">
        <v>758</v>
      </c>
      <c r="F1303" s="382" t="s">
        <v>412</v>
      </c>
      <c r="G1303" s="315">
        <v>160</v>
      </c>
      <c r="H1303" s="287">
        <f>SUM(COMPOSIÇÕES!G59:G61)</f>
        <v>31.499000000000002</v>
      </c>
      <c r="I1303" s="287">
        <f>COMPOSIÇÕES!$J$58</f>
        <v>37.641304999999996</v>
      </c>
      <c r="J1303" s="384">
        <f t="shared" si="176"/>
        <v>6022.6087999999991</v>
      </c>
    </row>
    <row r="1304" spans="1:10" s="150" customFormat="1" ht="28.8">
      <c r="A1304" s="271"/>
      <c r="B1304" s="381" t="s">
        <v>2231</v>
      </c>
      <c r="C1304" s="382" t="s">
        <v>711</v>
      </c>
      <c r="D1304" s="383" t="str">
        <f>COMPOSIÇÕES!B64</f>
        <v>SINAPI SP - 08/2023</v>
      </c>
      <c r="E1304" s="388" t="s">
        <v>697</v>
      </c>
      <c r="F1304" s="382" t="s">
        <v>431</v>
      </c>
      <c r="G1304" s="315">
        <v>15</v>
      </c>
      <c r="H1304" s="287">
        <f>SUM(COMPOSIÇÕES!$G$65:$G$67)</f>
        <v>92.32</v>
      </c>
      <c r="I1304" s="287">
        <f>COMPOSIÇÕES!$J$64</f>
        <v>110.32240000000002</v>
      </c>
      <c r="J1304" s="384">
        <f>I1304*G1304</f>
        <v>1654.8360000000002</v>
      </c>
    </row>
    <row r="1305" spans="1:10" s="150" customFormat="1" ht="28.8">
      <c r="A1305" s="271"/>
      <c r="B1305" s="381" t="s">
        <v>2232</v>
      </c>
      <c r="C1305" s="382" t="s">
        <v>711</v>
      </c>
      <c r="D1305" s="383" t="str">
        <f>COMPOSIÇÕES!B68</f>
        <v xml:space="preserve">SINAPI SP - 08/2023 </v>
      </c>
      <c r="E1305" s="388" t="s">
        <v>762</v>
      </c>
      <c r="F1305" s="382" t="s">
        <v>415</v>
      </c>
      <c r="G1305" s="315">
        <v>8</v>
      </c>
      <c r="H1305" s="287">
        <f>SUM(COMPOSIÇÕES!$G$69:$G$70)</f>
        <v>58.91</v>
      </c>
      <c r="I1305" s="287">
        <f>COMPOSIÇÕES!$J$68</f>
        <v>70.397449999999992</v>
      </c>
      <c r="J1305" s="384">
        <f>I1305*G1305</f>
        <v>563.17959999999994</v>
      </c>
    </row>
    <row r="1306" spans="1:10" s="150" customFormat="1" ht="28.8">
      <c r="A1306" s="271"/>
      <c r="B1306" s="381" t="s">
        <v>2233</v>
      </c>
      <c r="C1306" s="399" t="s">
        <v>763</v>
      </c>
      <c r="D1306" s="273" t="str">
        <f>COMPOSIÇÕES!B71</f>
        <v xml:space="preserve">SINAPI SP - 08/2023 </v>
      </c>
      <c r="E1306" s="400" t="s">
        <v>761</v>
      </c>
      <c r="F1306" s="273" t="s">
        <v>541</v>
      </c>
      <c r="G1306" s="316">
        <v>2</v>
      </c>
      <c r="H1306" s="287">
        <f>SUM(COMPOSIÇÕES!$G$72:$G$72)</f>
        <v>28.8</v>
      </c>
      <c r="I1306" s="287">
        <f>COMPOSIÇÕES!$J$71</f>
        <v>34.416000000000004</v>
      </c>
      <c r="J1306" s="384">
        <f>I1306*G1306</f>
        <v>68.832000000000008</v>
      </c>
    </row>
    <row r="1307" spans="1:10" s="150" customFormat="1">
      <c r="A1307" s="271"/>
      <c r="B1307" s="381" t="s">
        <v>2422</v>
      </c>
      <c r="C1307" s="399" t="s">
        <v>759</v>
      </c>
      <c r="D1307" s="273" t="str">
        <f>COMPOSIÇÕES!B73</f>
        <v>FDE - 07/2023</v>
      </c>
      <c r="E1307" s="400" t="s">
        <v>760</v>
      </c>
      <c r="F1307" s="273" t="s">
        <v>701</v>
      </c>
      <c r="G1307" s="316">
        <v>1</v>
      </c>
      <c r="H1307" s="530">
        <f>VLOOKUP(C1307,COMPOSIÇÕES!A:J,6,FALSE)</f>
        <v>38.485355648535567</v>
      </c>
      <c r="I1307" s="287">
        <f>COMPOSIÇÕES!$J$73</f>
        <v>45.99</v>
      </c>
      <c r="J1307" s="384">
        <f>I1307*G1307</f>
        <v>45.99</v>
      </c>
    </row>
    <row r="1308" spans="1:10" s="150" customFormat="1">
      <c r="A1308" s="271"/>
      <c r="B1308" s="381" t="s">
        <v>2455</v>
      </c>
      <c r="C1308" s="399" t="s">
        <v>764</v>
      </c>
      <c r="D1308" s="273" t="str">
        <f>COMPOSIÇÕES!B74</f>
        <v>FDE - 07/2023</v>
      </c>
      <c r="E1308" s="400" t="s">
        <v>765</v>
      </c>
      <c r="F1308" s="273" t="s">
        <v>541</v>
      </c>
      <c r="G1308" s="316">
        <v>3</v>
      </c>
      <c r="H1308" s="530">
        <f>VLOOKUP(C1308,COMPOSIÇÕES!A:J,6,FALSE)</f>
        <v>210.81171548117152</v>
      </c>
      <c r="I1308" s="287">
        <f>COMPOSIÇÕES!$J$74</f>
        <v>251.91999999999996</v>
      </c>
      <c r="J1308" s="384">
        <f>I1308*G1308</f>
        <v>755.75999999999988</v>
      </c>
    </row>
    <row r="1309" spans="1:10" s="263" customFormat="1">
      <c r="B1309" s="579" t="s">
        <v>2262</v>
      </c>
      <c r="C1309" s="580"/>
      <c r="D1309" s="580"/>
      <c r="E1309" s="580"/>
      <c r="F1309" s="580"/>
      <c r="G1309" s="580"/>
      <c r="H1309" s="580"/>
      <c r="I1309" s="581"/>
      <c r="J1309" s="296">
        <f>SUM(J1292:J1308)</f>
        <v>89175.93720981873</v>
      </c>
    </row>
    <row r="1310" spans="1:10" s="263" customFormat="1">
      <c r="B1310" s="237" t="s">
        <v>2234</v>
      </c>
      <c r="C1310" s="238"/>
      <c r="D1310" s="533"/>
      <c r="E1310" s="239" t="s">
        <v>526</v>
      </c>
      <c r="F1310" s="238"/>
      <c r="G1310" s="312"/>
      <c r="H1310" s="300"/>
      <c r="I1310" s="285"/>
      <c r="J1310" s="294"/>
    </row>
    <row r="1311" spans="1:10" s="276" customFormat="1">
      <c r="A1311" s="263"/>
      <c r="B1311" s="381" t="s">
        <v>2235</v>
      </c>
      <c r="C1311" s="382" t="s">
        <v>711</v>
      </c>
      <c r="D1311" s="383" t="str">
        <f>COMPOSIÇÕES!B75</f>
        <v>FDE - 07/2023</v>
      </c>
      <c r="E1311" s="344" t="s">
        <v>745</v>
      </c>
      <c r="F1311" s="382" t="s">
        <v>431</v>
      </c>
      <c r="G1311" s="316">
        <v>71</v>
      </c>
      <c r="H1311" s="290">
        <f>COMPOSIÇÕES!G76+COMPOSIÇÕES!G77+COMPOSIÇÕES!G78</f>
        <v>34.013252032520327</v>
      </c>
      <c r="I1311" s="287">
        <f>COMPOSIÇÕES!$J$75</f>
        <v>40.645836178861792</v>
      </c>
      <c r="J1311" s="384">
        <f t="shared" ref="J1311:J1335" si="178">G1311*I1311</f>
        <v>2885.854368699187</v>
      </c>
    </row>
    <row r="1312" spans="1:10" s="276" customFormat="1" ht="43.2">
      <c r="A1312" s="263"/>
      <c r="B1312" s="381" t="s">
        <v>2236</v>
      </c>
      <c r="C1312" s="382" t="s">
        <v>711</v>
      </c>
      <c r="D1312" s="383" t="str">
        <f>COMPOSIÇÕES!B128</f>
        <v>FDE - 07/2023 + SINAPI SP - 08/2023</v>
      </c>
      <c r="E1312" s="344" t="s">
        <v>812</v>
      </c>
      <c r="F1312" s="382" t="s">
        <v>431</v>
      </c>
      <c r="G1312" s="316">
        <v>3</v>
      </c>
      <c r="H1312" s="290">
        <f>SUM(COMPOSIÇÕES!G129:G131)</f>
        <v>23.056000000000001</v>
      </c>
      <c r="I1312" s="287">
        <f>COMPOSIÇÕES!$J$128</f>
        <v>27.551920000000003</v>
      </c>
      <c r="J1312" s="384">
        <f t="shared" si="178"/>
        <v>82.655760000000015</v>
      </c>
    </row>
    <row r="1313" spans="1:10" s="276" customFormat="1">
      <c r="A1313" s="263"/>
      <c r="B1313" s="381" t="s">
        <v>2237</v>
      </c>
      <c r="C1313" s="382" t="s">
        <v>739</v>
      </c>
      <c r="D1313" s="383" t="str">
        <f>COMPOSIÇÕES!B83</f>
        <v>FDE - 07/2023</v>
      </c>
      <c r="E1313" s="344" t="s">
        <v>766</v>
      </c>
      <c r="F1313" s="382" t="s">
        <v>431</v>
      </c>
      <c r="G1313" s="316">
        <v>21</v>
      </c>
      <c r="H1313" s="530">
        <f>VLOOKUP(C1313,COMPOSIÇÕES!A:J,6,FALSE)</f>
        <v>32.35146443514644</v>
      </c>
      <c r="I1313" s="287">
        <f>COMPOSIÇÕES!$J$83</f>
        <v>38.659999999999997</v>
      </c>
      <c r="J1313" s="384">
        <f t="shared" si="178"/>
        <v>811.8599999999999</v>
      </c>
    </row>
    <row r="1314" spans="1:10" s="276" customFormat="1">
      <c r="A1314" s="263"/>
      <c r="B1314" s="381" t="s">
        <v>2238</v>
      </c>
      <c r="C1314" s="382" t="s">
        <v>739</v>
      </c>
      <c r="D1314" s="383" t="str">
        <f>COMPOSIÇÕES!B83</f>
        <v>FDE - 07/2023</v>
      </c>
      <c r="E1314" s="344" t="s">
        <v>767</v>
      </c>
      <c r="F1314" s="382" t="s">
        <v>431</v>
      </c>
      <c r="G1314" s="316">
        <v>11</v>
      </c>
      <c r="H1314" s="530">
        <f>VLOOKUP(C1314,COMPOSIÇÕES!A:J,6,FALSE)</f>
        <v>32.35146443514644</v>
      </c>
      <c r="I1314" s="287">
        <f>COMPOSIÇÕES!$J$83</f>
        <v>38.659999999999997</v>
      </c>
      <c r="J1314" s="384">
        <f t="shared" si="178"/>
        <v>425.26</v>
      </c>
    </row>
    <row r="1315" spans="1:10" s="276" customFormat="1">
      <c r="A1315" s="263"/>
      <c r="B1315" s="381" t="s">
        <v>2239</v>
      </c>
      <c r="C1315" s="382" t="s">
        <v>739</v>
      </c>
      <c r="D1315" s="383" t="str">
        <f>COMPOSIÇÕES!B83</f>
        <v>FDE - 07/2023</v>
      </c>
      <c r="E1315" s="344" t="s">
        <v>768</v>
      </c>
      <c r="F1315" s="382" t="s">
        <v>431</v>
      </c>
      <c r="G1315" s="316">
        <v>13</v>
      </c>
      <c r="H1315" s="530">
        <f>VLOOKUP(C1315,COMPOSIÇÕES!A:J,6,FALSE)</f>
        <v>32.35146443514644</v>
      </c>
      <c r="I1315" s="287">
        <f>COMPOSIÇÕES!$J$83</f>
        <v>38.659999999999997</v>
      </c>
      <c r="J1315" s="384">
        <f t="shared" si="178"/>
        <v>502.57999999999993</v>
      </c>
    </row>
    <row r="1316" spans="1:10" s="276" customFormat="1">
      <c r="A1316" s="263"/>
      <c r="B1316" s="381" t="s">
        <v>2240</v>
      </c>
      <c r="C1316" s="382" t="s">
        <v>819</v>
      </c>
      <c r="D1316" s="383" t="str">
        <f>COMPOSIÇÕES!B140</f>
        <v>FDE - 07/2023</v>
      </c>
      <c r="E1316" s="344" t="s">
        <v>820</v>
      </c>
      <c r="F1316" s="382" t="s">
        <v>431</v>
      </c>
      <c r="G1316" s="316">
        <v>2</v>
      </c>
      <c r="H1316" s="530">
        <f>COMPOSIÇÕES!F140</f>
        <v>68.63</v>
      </c>
      <c r="I1316" s="287">
        <f>COMPOSIÇÕES!$J$140</f>
        <v>82.01285</v>
      </c>
      <c r="J1316" s="384">
        <f t="shared" si="178"/>
        <v>164.0257</v>
      </c>
    </row>
    <row r="1317" spans="1:10" s="276" customFormat="1">
      <c r="A1317" s="263"/>
      <c r="B1317" s="381" t="s">
        <v>2241</v>
      </c>
      <c r="C1317" s="382" t="s">
        <v>735</v>
      </c>
      <c r="D1317" s="383" t="str">
        <f>COMPOSIÇÕES!B89</f>
        <v>FDE - 07/2023</v>
      </c>
      <c r="E1317" s="344" t="s">
        <v>736</v>
      </c>
      <c r="F1317" s="382" t="s">
        <v>431</v>
      </c>
      <c r="G1317" s="316">
        <v>74</v>
      </c>
      <c r="H1317" s="530">
        <f>VLOOKUP(C1317,COMPOSIÇÕES!A:J,6,FALSE)</f>
        <v>7.8158995815899575</v>
      </c>
      <c r="I1317" s="287">
        <f>COMPOSIÇÕES!$J$89</f>
        <v>9.34</v>
      </c>
      <c r="J1317" s="384">
        <f t="shared" si="178"/>
        <v>691.16</v>
      </c>
    </row>
    <row r="1318" spans="1:10" s="276" customFormat="1" ht="28.8">
      <c r="A1318" s="263"/>
      <c r="B1318" s="381" t="s">
        <v>2242</v>
      </c>
      <c r="C1318" s="383" t="str">
        <f>COMPOSIÇÕES!A91</f>
        <v>38.21.920</v>
      </c>
      <c r="D1318" s="383" t="str">
        <f>COMPOSIÇÕES!B91</f>
        <v>CDHU - BOLETIM 191</v>
      </c>
      <c r="E1318" s="344" t="str">
        <f>COMPOSIÇÕES!C91</f>
        <v>Eletrocalha perfurada galvanizada a fogo, 100 x 50 mm, com acessórios</v>
      </c>
      <c r="F1318" s="382" t="s">
        <v>412</v>
      </c>
      <c r="G1318" s="316">
        <f>15*3</f>
        <v>45</v>
      </c>
      <c r="H1318" s="530">
        <f>VLOOKUP(C1318,COMPOSIÇÕES!A:J,6,FALSE)</f>
        <v>98.38</v>
      </c>
      <c r="I1318" s="287">
        <f>COMPOSIÇÕES!$J$91</f>
        <v>117.5641</v>
      </c>
      <c r="J1318" s="384">
        <f t="shared" si="178"/>
        <v>5290.3845000000001</v>
      </c>
    </row>
    <row r="1319" spans="1:10" s="276" customFormat="1" ht="28.8">
      <c r="A1319" s="263"/>
      <c r="B1319" s="381" t="s">
        <v>2243</v>
      </c>
      <c r="C1319" s="383" t="str">
        <f>COMPOSIÇÕES!A92</f>
        <v>38.06.040</v>
      </c>
      <c r="D1319" s="383" t="str">
        <f>COMPOSIÇÕES!B92</f>
        <v>CDHU - BOLETIM 191</v>
      </c>
      <c r="E1319" s="344" t="str">
        <f>COMPOSIÇÕES!C92</f>
        <v>Eletroduto galvanizado a quente conforme NBR5598 ‐ 3/4´ com acessórios</v>
      </c>
      <c r="F1319" s="382" t="s">
        <v>412</v>
      </c>
      <c r="G1319" s="316">
        <f>40*3</f>
        <v>120</v>
      </c>
      <c r="H1319" s="530">
        <f>VLOOKUP(C1319,COMPOSIÇÕES!A:J,6,FALSE)</f>
        <v>60.65</v>
      </c>
      <c r="I1319" s="287">
        <f>COMPOSIÇÕES!$J$92</f>
        <v>72.476749999999996</v>
      </c>
      <c r="J1319" s="384">
        <f t="shared" si="178"/>
        <v>8697.2099999999991</v>
      </c>
    </row>
    <row r="1320" spans="1:10" s="276" customFormat="1" ht="28.8">
      <c r="A1320" s="263"/>
      <c r="B1320" s="381" t="s">
        <v>2244</v>
      </c>
      <c r="C1320" s="383" t="str">
        <f>COMPOSIÇÕES!A142</f>
        <v>38.06.100</v>
      </c>
      <c r="D1320" s="383" t="str">
        <f>COMPOSIÇÕES!B142</f>
        <v>CDHU - BOLETIM 191</v>
      </c>
      <c r="E1320" s="344" t="str">
        <f>COMPOSIÇÕES!C142</f>
        <v>Eletroduto galvanizado a quente conforme NBR5598 ‐ 1 1/2´ com
acessórios</v>
      </c>
      <c r="F1320" s="382" t="s">
        <v>412</v>
      </c>
      <c r="G1320" s="316">
        <f>2*3</f>
        <v>6</v>
      </c>
      <c r="H1320" s="530">
        <f>VLOOKUP(C1320,COMPOSIÇÕES!A:J,6,FALSE)</f>
        <v>111.35</v>
      </c>
      <c r="I1320" s="287">
        <f>COMPOSIÇÕES!$J$142</f>
        <v>133.06324999999998</v>
      </c>
      <c r="J1320" s="384">
        <f t="shared" si="178"/>
        <v>798.37949999999989</v>
      </c>
    </row>
    <row r="1321" spans="1:10" s="276" customFormat="1" ht="28.8">
      <c r="A1321" s="263"/>
      <c r="B1321" s="381" t="s">
        <v>2245</v>
      </c>
      <c r="C1321" s="383" t="str">
        <f>COMPOSIÇÕES!A163</f>
        <v>38.06.160</v>
      </c>
      <c r="D1321" s="383" t="str">
        <f>COMPOSIÇÕES!B163</f>
        <v>CDHU - BOLETIM 191</v>
      </c>
      <c r="E1321" s="344" t="str">
        <f>COMPOSIÇÕES!C163</f>
        <v>Eletroduto galvanizado a quente conforme NBR5598 ‐ 3´ com acessórios</v>
      </c>
      <c r="F1321" s="382" t="s">
        <v>412</v>
      </c>
      <c r="G1321" s="316">
        <f>2*3</f>
        <v>6</v>
      </c>
      <c r="H1321" s="530">
        <f>VLOOKUP(C1321,COMPOSIÇÕES!A:J,6,FALSE)</f>
        <v>212.36</v>
      </c>
      <c r="I1321" s="287">
        <f>COMPOSIÇÕES!$J$163</f>
        <v>253.77020000000002</v>
      </c>
      <c r="J1321" s="384">
        <f t="shared" si="178"/>
        <v>1522.6212</v>
      </c>
    </row>
    <row r="1322" spans="1:10" s="276" customFormat="1">
      <c r="A1322" s="263"/>
      <c r="B1322" s="381" t="s">
        <v>2246</v>
      </c>
      <c r="C1322" s="382" t="s">
        <v>729</v>
      </c>
      <c r="D1322" s="383" t="str">
        <f>COMPOSIÇÕES!B95</f>
        <v>FDE - 07/2023</v>
      </c>
      <c r="E1322" s="344" t="s">
        <v>730</v>
      </c>
      <c r="F1322" s="382" t="s">
        <v>412</v>
      </c>
      <c r="G1322" s="316">
        <v>1</v>
      </c>
      <c r="H1322" s="530">
        <f>VLOOKUP(C1322,COMPOSIÇÕES!A:J,6,FALSE)</f>
        <v>50.77</v>
      </c>
      <c r="I1322" s="287">
        <f>COMPOSIÇÕES!$J$95</f>
        <v>60.670150000000007</v>
      </c>
      <c r="J1322" s="384">
        <f t="shared" si="178"/>
        <v>60.670150000000007</v>
      </c>
    </row>
    <row r="1323" spans="1:10" s="276" customFormat="1" ht="28.8">
      <c r="A1323" s="263"/>
      <c r="B1323" s="381" t="s">
        <v>2247</v>
      </c>
      <c r="C1323" s="382">
        <v>91927</v>
      </c>
      <c r="D1323" s="383" t="str">
        <f>COMPOSIÇÕES!B96</f>
        <v>SINAPI SP - 08/2023</v>
      </c>
      <c r="E1323" s="344" t="s">
        <v>770</v>
      </c>
      <c r="F1323" s="382" t="s">
        <v>412</v>
      </c>
      <c r="G1323" s="316">
        <v>450</v>
      </c>
      <c r="H1323" s="530">
        <f>VLOOKUP(C1323,COMPOSIÇÕES!A:J,6,FALSE)</f>
        <v>4.8</v>
      </c>
      <c r="I1323" s="287">
        <f>COMPOSIÇÕES!$J$96</f>
        <v>5.7359999999999998</v>
      </c>
      <c r="J1323" s="384">
        <f t="shared" si="178"/>
        <v>2581.1999999999998</v>
      </c>
    </row>
    <row r="1324" spans="1:10" s="276" customFormat="1" ht="28.8">
      <c r="A1324" s="263"/>
      <c r="B1324" s="381" t="s">
        <v>2248</v>
      </c>
      <c r="C1324" s="382">
        <v>91927</v>
      </c>
      <c r="D1324" s="383" t="str">
        <f t="shared" ref="D1324:D1326" si="179">$D$1323</f>
        <v>SINAPI SP - 08/2023</v>
      </c>
      <c r="E1324" s="344" t="s">
        <v>771</v>
      </c>
      <c r="F1324" s="382" t="s">
        <v>412</v>
      </c>
      <c r="G1324" s="316">
        <v>400</v>
      </c>
      <c r="H1324" s="530">
        <f>VLOOKUP(C1324,COMPOSIÇÕES!A:J,6,FALSE)</f>
        <v>4.8</v>
      </c>
      <c r="I1324" s="287">
        <f>COMPOSIÇÕES!$J$96</f>
        <v>5.7359999999999998</v>
      </c>
      <c r="J1324" s="384">
        <f t="shared" si="178"/>
        <v>2294.4</v>
      </c>
    </row>
    <row r="1325" spans="1:10" s="276" customFormat="1" ht="28.8">
      <c r="A1325" s="263"/>
      <c r="B1325" s="381" t="s">
        <v>2249</v>
      </c>
      <c r="C1325" s="382">
        <v>91927</v>
      </c>
      <c r="D1325" s="383" t="str">
        <f t="shared" si="179"/>
        <v>SINAPI SP - 08/2023</v>
      </c>
      <c r="E1325" s="344" t="s">
        <v>772</v>
      </c>
      <c r="F1325" s="382" t="s">
        <v>412</v>
      </c>
      <c r="G1325" s="316">
        <v>400</v>
      </c>
      <c r="H1325" s="530">
        <f>VLOOKUP(C1325,COMPOSIÇÕES!A:J,6,FALSE)</f>
        <v>4.8</v>
      </c>
      <c r="I1325" s="287">
        <f>COMPOSIÇÕES!$J$96</f>
        <v>5.7359999999999998</v>
      </c>
      <c r="J1325" s="384">
        <f t="shared" si="178"/>
        <v>2294.4</v>
      </c>
    </row>
    <row r="1326" spans="1:10" s="276" customFormat="1" ht="28.8">
      <c r="A1326" s="263"/>
      <c r="B1326" s="381" t="s">
        <v>2250</v>
      </c>
      <c r="C1326" s="382">
        <v>91927</v>
      </c>
      <c r="D1326" s="383" t="str">
        <f t="shared" si="179"/>
        <v>SINAPI SP - 08/2023</v>
      </c>
      <c r="E1326" s="344" t="s">
        <v>773</v>
      </c>
      <c r="F1326" s="382" t="s">
        <v>412</v>
      </c>
      <c r="G1326" s="316">
        <v>200</v>
      </c>
      <c r="H1326" s="530">
        <f>VLOOKUP(C1326,COMPOSIÇÕES!A:J,6,FALSE)</f>
        <v>4.8</v>
      </c>
      <c r="I1326" s="287">
        <f>COMPOSIÇÕES!$J$96</f>
        <v>5.7359999999999998</v>
      </c>
      <c r="J1326" s="384">
        <f t="shared" si="178"/>
        <v>1147.2</v>
      </c>
    </row>
    <row r="1327" spans="1:10" s="276" customFormat="1" ht="28.8">
      <c r="A1327" s="263"/>
      <c r="B1327" s="381" t="s">
        <v>2251</v>
      </c>
      <c r="C1327" s="382">
        <v>92984</v>
      </c>
      <c r="D1327" s="383" t="str">
        <f>COMPOSIÇÕES!B98</f>
        <v>SINAPI SP - 08/2023</v>
      </c>
      <c r="E1327" s="344" t="s">
        <v>777</v>
      </c>
      <c r="F1327" s="382" t="s">
        <v>412</v>
      </c>
      <c r="G1327" s="316">
        <v>10</v>
      </c>
      <c r="H1327" s="530">
        <f>VLOOKUP(C1327,COMPOSIÇÕES!A:J,6,FALSE)</f>
        <v>23.65</v>
      </c>
      <c r="I1327" s="287">
        <f>COMPOSIÇÕES!$J$98</f>
        <v>28.261749999999999</v>
      </c>
      <c r="J1327" s="384">
        <f t="shared" si="178"/>
        <v>282.61750000000001</v>
      </c>
    </row>
    <row r="1328" spans="1:10" s="276" customFormat="1" ht="28.8">
      <c r="A1328" s="263"/>
      <c r="B1328" s="381" t="s">
        <v>2252</v>
      </c>
      <c r="C1328" s="382">
        <v>92988</v>
      </c>
      <c r="D1328" s="383" t="str">
        <f>COMPOSIÇÕES!B99</f>
        <v>SINAPI SP - 08/2023</v>
      </c>
      <c r="E1328" s="344" t="s">
        <v>778</v>
      </c>
      <c r="F1328" s="382" t="s">
        <v>412</v>
      </c>
      <c r="G1328" s="316">
        <v>10</v>
      </c>
      <c r="H1328" s="530">
        <f>VLOOKUP(C1328,COMPOSIÇÕES!A:J,6,FALSE)</f>
        <v>46.05</v>
      </c>
      <c r="I1328" s="287">
        <f>COMPOSIÇÕES!$J$99</f>
        <v>55.029749999999993</v>
      </c>
      <c r="J1328" s="384">
        <f t="shared" si="178"/>
        <v>550.2974999999999</v>
      </c>
    </row>
    <row r="1329" spans="1:10" s="276" customFormat="1" ht="28.8">
      <c r="A1329" s="263"/>
      <c r="B1329" s="381" t="s">
        <v>2253</v>
      </c>
      <c r="C1329" s="382">
        <v>92988</v>
      </c>
      <c r="D1329" s="383" t="str">
        <f t="shared" ref="D1329:D1331" si="180">$D$1328</f>
        <v>SINAPI SP - 08/2023</v>
      </c>
      <c r="E1329" s="344" t="s">
        <v>779</v>
      </c>
      <c r="F1329" s="382" t="s">
        <v>412</v>
      </c>
      <c r="G1329" s="316">
        <v>10</v>
      </c>
      <c r="H1329" s="530">
        <f>VLOOKUP(C1329,COMPOSIÇÕES!A:J,6,FALSE)</f>
        <v>46.05</v>
      </c>
      <c r="I1329" s="287">
        <f>COMPOSIÇÕES!$J$99</f>
        <v>55.029749999999993</v>
      </c>
      <c r="J1329" s="384">
        <f t="shared" si="178"/>
        <v>550.2974999999999</v>
      </c>
    </row>
    <row r="1330" spans="1:10" s="276" customFormat="1" ht="28.8">
      <c r="A1330" s="263"/>
      <c r="B1330" s="381" t="s">
        <v>2254</v>
      </c>
      <c r="C1330" s="382">
        <v>92988</v>
      </c>
      <c r="D1330" s="383" t="str">
        <f t="shared" si="180"/>
        <v>SINAPI SP - 08/2023</v>
      </c>
      <c r="E1330" s="344" t="s">
        <v>780</v>
      </c>
      <c r="F1330" s="382" t="s">
        <v>412</v>
      </c>
      <c r="G1330" s="316">
        <v>10</v>
      </c>
      <c r="H1330" s="530">
        <f>VLOOKUP(C1330,COMPOSIÇÕES!A:J,6,FALSE)</f>
        <v>46.05</v>
      </c>
      <c r="I1330" s="287">
        <f>COMPOSIÇÕES!$J$99</f>
        <v>55.029749999999993</v>
      </c>
      <c r="J1330" s="384">
        <f t="shared" si="178"/>
        <v>550.2974999999999</v>
      </c>
    </row>
    <row r="1331" spans="1:10" s="276" customFormat="1" ht="28.8">
      <c r="A1331" s="263"/>
      <c r="B1331" s="381" t="s">
        <v>2255</v>
      </c>
      <c r="C1331" s="382">
        <v>92988</v>
      </c>
      <c r="D1331" s="383" t="str">
        <f t="shared" si="180"/>
        <v>SINAPI SP - 08/2023</v>
      </c>
      <c r="E1331" s="344" t="s">
        <v>847</v>
      </c>
      <c r="F1331" s="382" t="s">
        <v>412</v>
      </c>
      <c r="G1331" s="316">
        <v>10</v>
      </c>
      <c r="H1331" s="530">
        <f>VLOOKUP(C1331,COMPOSIÇÕES!A:J,6,FALSE)</f>
        <v>46.05</v>
      </c>
      <c r="I1331" s="287">
        <f>COMPOSIÇÕES!$J$99</f>
        <v>55.029749999999993</v>
      </c>
      <c r="J1331" s="384">
        <f t="shared" si="178"/>
        <v>550.2974999999999</v>
      </c>
    </row>
    <row r="1332" spans="1:10" s="276" customFormat="1">
      <c r="A1332" s="263"/>
      <c r="B1332" s="381" t="s">
        <v>2256</v>
      </c>
      <c r="C1332" s="382" t="s">
        <v>711</v>
      </c>
      <c r="D1332" s="383" t="str">
        <f>COMPOSIÇÕES!B103</f>
        <v>FDE - 07/2023</v>
      </c>
      <c r="E1332" s="344" t="s">
        <v>732</v>
      </c>
      <c r="F1332" s="382" t="s">
        <v>431</v>
      </c>
      <c r="G1332" s="316">
        <v>4</v>
      </c>
      <c r="H1332" s="530">
        <f>COMPOSIÇÕES!F103</f>
        <v>22.98</v>
      </c>
      <c r="I1332" s="287">
        <f>COMPOSIÇÕES!$J$103</f>
        <v>27.461100000000002</v>
      </c>
      <c r="J1332" s="384">
        <f t="shared" si="178"/>
        <v>109.84440000000001</v>
      </c>
    </row>
    <row r="1333" spans="1:10" s="276" customFormat="1">
      <c r="A1333" s="263"/>
      <c r="B1333" s="381" t="s">
        <v>2257</v>
      </c>
      <c r="C1333" s="382" t="s">
        <v>711</v>
      </c>
      <c r="D1333" s="383" t="str">
        <f>COMPOSIÇÕES!B104</f>
        <v>FDE - 07/2023</v>
      </c>
      <c r="E1333" s="344" t="s">
        <v>731</v>
      </c>
      <c r="F1333" s="382" t="s">
        <v>431</v>
      </c>
      <c r="G1333" s="316">
        <v>12</v>
      </c>
      <c r="H1333" s="530">
        <f>COMPOSIÇÕES!F104</f>
        <v>34.06</v>
      </c>
      <c r="I1333" s="287">
        <f>COMPOSIÇÕES!$J$104</f>
        <v>40.701700000000002</v>
      </c>
      <c r="J1333" s="384">
        <f t="shared" si="178"/>
        <v>488.42040000000003</v>
      </c>
    </row>
    <row r="1334" spans="1:10" s="276" customFormat="1">
      <c r="A1334" s="263"/>
      <c r="B1334" s="381" t="s">
        <v>2258</v>
      </c>
      <c r="C1334" s="382" t="s">
        <v>711</v>
      </c>
      <c r="D1334" s="383" t="str">
        <f>COMPOSIÇÕES!B104</f>
        <v>FDE - 07/2023</v>
      </c>
      <c r="E1334" s="344" t="s">
        <v>731</v>
      </c>
      <c r="F1334" s="382" t="s">
        <v>431</v>
      </c>
      <c r="G1334" s="316">
        <v>12</v>
      </c>
      <c r="H1334" s="530">
        <f>COMPOSIÇÕES!F104</f>
        <v>34.06</v>
      </c>
      <c r="I1334" s="287">
        <f>COMPOSIÇÕES!$J$104</f>
        <v>40.701700000000002</v>
      </c>
      <c r="J1334" s="384">
        <f t="shared" si="178"/>
        <v>488.42040000000003</v>
      </c>
    </row>
    <row r="1335" spans="1:10" s="263" customFormat="1" ht="72">
      <c r="B1335" s="381" t="s">
        <v>2259</v>
      </c>
      <c r="C1335" s="275" t="s">
        <v>711</v>
      </c>
      <c r="D1335" s="277" t="str">
        <f>COMPOSIÇÕES!B317</f>
        <v>CDHU - BOLETIM 191 + FDE - 07/2023 + SINAPI SP - 08/2023</v>
      </c>
      <c r="E1335" s="278" t="s">
        <v>1019</v>
      </c>
      <c r="F1335" s="275" t="s">
        <v>530</v>
      </c>
      <c r="G1335" s="313">
        <v>1</v>
      </c>
      <c r="H1335" s="301">
        <f>SUM(COMPOSIÇÕES!G318:G324)</f>
        <v>7388.725395815899</v>
      </c>
      <c r="I1335" s="286">
        <f>COMPOSIÇÕES!$J$317</f>
        <v>8829.5268479999995</v>
      </c>
      <c r="J1335" s="295">
        <f t="shared" si="178"/>
        <v>8829.5268479999995</v>
      </c>
    </row>
    <row r="1336" spans="1:10" s="263" customFormat="1">
      <c r="B1336" s="579" t="s">
        <v>675</v>
      </c>
      <c r="C1336" s="580"/>
      <c r="D1336" s="580"/>
      <c r="E1336" s="580"/>
      <c r="F1336" s="580"/>
      <c r="G1336" s="580"/>
      <c r="H1336" s="580"/>
      <c r="I1336" s="581"/>
      <c r="J1336" s="296">
        <f>SUM(J1311:J1335)</f>
        <v>42649.880726699201</v>
      </c>
    </row>
    <row r="1337" spans="1:10" s="263" customFormat="1">
      <c r="B1337" s="237" t="s">
        <v>2260</v>
      </c>
      <c r="C1337" s="238"/>
      <c r="D1337" s="533"/>
      <c r="E1337" s="239" t="s">
        <v>650</v>
      </c>
      <c r="F1337" s="238"/>
      <c r="G1337" s="312"/>
      <c r="H1337" s="300"/>
      <c r="I1337" s="285"/>
      <c r="J1337" s="294"/>
    </row>
    <row r="1338" spans="1:10" s="276" customFormat="1">
      <c r="A1338" s="263"/>
      <c r="B1338" s="381" t="s">
        <v>676</v>
      </c>
      <c r="C1338" s="382" t="s">
        <v>708</v>
      </c>
      <c r="D1338" s="383" t="str">
        <f>COMPOSIÇÕES!B115</f>
        <v>FDE - 07/2023</v>
      </c>
      <c r="E1338" s="344" t="s">
        <v>651</v>
      </c>
      <c r="F1338" s="382" t="s">
        <v>541</v>
      </c>
      <c r="G1338" s="316">
        <v>100</v>
      </c>
      <c r="H1338" s="290">
        <f>COMPOSIÇÕES!$G$116</f>
        <v>5.116260162601626</v>
      </c>
      <c r="I1338" s="287">
        <f>COMPOSIÇÕES!$J$115</f>
        <v>6.1139308943089432</v>
      </c>
      <c r="J1338" s="384">
        <f>G1338*I1338</f>
        <v>611.39308943089429</v>
      </c>
    </row>
    <row r="1339" spans="1:10" s="263" customFormat="1">
      <c r="B1339" s="579" t="s">
        <v>677</v>
      </c>
      <c r="C1339" s="580"/>
      <c r="D1339" s="580"/>
      <c r="E1339" s="580"/>
      <c r="F1339" s="580"/>
      <c r="G1339" s="580"/>
      <c r="H1339" s="580"/>
      <c r="I1339" s="581"/>
      <c r="J1339" s="296">
        <f>J1338</f>
        <v>611.39308943089429</v>
      </c>
    </row>
    <row r="1340" spans="1:10" s="263" customFormat="1" ht="25.5" customHeight="1" thickBot="1">
      <c r="B1340" s="564" t="s">
        <v>691</v>
      </c>
      <c r="C1340" s="565"/>
      <c r="D1340" s="565"/>
      <c r="E1340" s="565"/>
      <c r="F1340" s="565"/>
      <c r="G1340" s="565"/>
      <c r="H1340" s="565"/>
      <c r="I1340" s="566"/>
      <c r="J1340" s="297">
        <f>J1290+J1309+J1336+J1339</f>
        <v>134969.45008344884</v>
      </c>
    </row>
    <row r="1341" spans="1:10" s="263" customFormat="1">
      <c r="B1341" s="264" t="s">
        <v>515</v>
      </c>
      <c r="C1341" s="265"/>
      <c r="D1341" s="534"/>
      <c r="E1341" s="266" t="s">
        <v>520</v>
      </c>
      <c r="F1341" s="265"/>
      <c r="G1341" s="310"/>
      <c r="H1341" s="298"/>
      <c r="I1341" s="283"/>
      <c r="J1341" s="292"/>
    </row>
    <row r="1342" spans="1:10" s="263" customFormat="1" ht="6" customHeight="1">
      <c r="B1342" s="234"/>
      <c r="C1342" s="235"/>
      <c r="D1342" s="532"/>
      <c r="E1342" s="236"/>
      <c r="F1342" s="235"/>
      <c r="G1342" s="311"/>
      <c r="H1342" s="299"/>
      <c r="I1342" s="284"/>
      <c r="J1342" s="293"/>
    </row>
    <row r="1343" spans="1:10" s="263" customFormat="1">
      <c r="B1343" s="237" t="s">
        <v>516</v>
      </c>
      <c r="C1343" s="238"/>
      <c r="D1343" s="533"/>
      <c r="E1343" s="239" t="s">
        <v>483</v>
      </c>
      <c r="F1343" s="238"/>
      <c r="G1343" s="312"/>
      <c r="H1343" s="300"/>
      <c r="I1343" s="285"/>
      <c r="J1343" s="294"/>
    </row>
    <row r="1344" spans="1:10" s="150" customFormat="1">
      <c r="B1344" s="381" t="s">
        <v>517</v>
      </c>
      <c r="C1344" s="382" t="str">
        <f t="shared" ref="C1344:C1345" si="181">C1288</f>
        <v>16.06.076</v>
      </c>
      <c r="D1344" s="383" t="str">
        <f t="shared" ref="D1344:J1345" si="182">D1288</f>
        <v>FDE - 07/2023</v>
      </c>
      <c r="E1344" s="486" t="str">
        <f t="shared" si="182"/>
        <v>FORNECIMENTO E INSTALAÇAO DE PLACAS DE OBRA</v>
      </c>
      <c r="F1344" s="382" t="str">
        <f t="shared" si="182"/>
        <v>M²</v>
      </c>
      <c r="G1344" s="316">
        <f t="shared" si="182"/>
        <v>5</v>
      </c>
      <c r="H1344" s="290">
        <f t="shared" si="182"/>
        <v>407.8057</v>
      </c>
      <c r="I1344" s="287">
        <f t="shared" si="182"/>
        <v>487.3278115</v>
      </c>
      <c r="J1344" s="384">
        <f t="shared" si="182"/>
        <v>2436.6390575</v>
      </c>
    </row>
    <row r="1345" spans="1:10" s="276" customFormat="1" ht="28.8">
      <c r="B1345" s="381" t="s">
        <v>802</v>
      </c>
      <c r="C1345" s="382">
        <f t="shared" si="181"/>
        <v>37524</v>
      </c>
      <c r="D1345" s="383" t="str">
        <f t="shared" si="182"/>
        <v>SINAPI SP - 08/2023</v>
      </c>
      <c r="E1345" s="486" t="str">
        <f t="shared" si="182"/>
        <v>TELA PLASTICA LARANJA, TIPO TAPUME PARA SINALIZACAO, MALHA RETANGULAR, ROLO 1.20 X 50 M (L X C)</v>
      </c>
      <c r="F1345" s="382" t="str">
        <f t="shared" si="182"/>
        <v>M²</v>
      </c>
      <c r="G1345" s="316">
        <f t="shared" si="182"/>
        <v>40</v>
      </c>
      <c r="H1345" s="290">
        <f t="shared" si="182"/>
        <v>2</v>
      </c>
      <c r="I1345" s="287">
        <f t="shared" si="182"/>
        <v>2.39</v>
      </c>
      <c r="J1345" s="384">
        <f t="shared" si="182"/>
        <v>95.600000000000009</v>
      </c>
    </row>
    <row r="1346" spans="1:10" s="263" customFormat="1">
      <c r="B1346" s="579" t="s">
        <v>685</v>
      </c>
      <c r="C1346" s="580"/>
      <c r="D1346" s="580"/>
      <c r="E1346" s="580"/>
      <c r="F1346" s="580"/>
      <c r="G1346" s="580"/>
      <c r="H1346" s="580"/>
      <c r="I1346" s="581"/>
      <c r="J1346" s="296">
        <f>SUM(J1344:J1345)</f>
        <v>2532.2390574999999</v>
      </c>
    </row>
    <row r="1347" spans="1:10" s="263" customFormat="1">
      <c r="B1347" s="237" t="s">
        <v>518</v>
      </c>
      <c r="C1347" s="238"/>
      <c r="D1347" s="533"/>
      <c r="E1347" s="239" t="s">
        <v>525</v>
      </c>
      <c r="F1347" s="238"/>
      <c r="G1347" s="312"/>
      <c r="H1347" s="300"/>
      <c r="I1347" s="285"/>
      <c r="J1347" s="294"/>
    </row>
    <row r="1348" spans="1:10" s="276" customFormat="1" ht="28.8">
      <c r="B1348" s="381" t="s">
        <v>519</v>
      </c>
      <c r="C1348" s="382" t="s">
        <v>711</v>
      </c>
      <c r="D1348" s="383" t="str">
        <f>COMPOSIÇÕES!B10</f>
        <v>SINAPI SP - 08/2023</v>
      </c>
      <c r="E1348" s="487" t="s">
        <v>2404</v>
      </c>
      <c r="F1348" s="382" t="s">
        <v>431</v>
      </c>
      <c r="G1348" s="315">
        <v>15</v>
      </c>
      <c r="H1348" s="290">
        <f>SUM(COMPOSIÇÕES!G11:G13)</f>
        <v>328.17395199999999</v>
      </c>
      <c r="I1348" s="287">
        <f>COMPOSIÇÕES!J10</f>
        <v>392.16787263999993</v>
      </c>
      <c r="J1348" s="384">
        <f>G1348*I1348</f>
        <v>5882.5180895999993</v>
      </c>
    </row>
    <row r="1349" spans="1:10" s="150" customFormat="1" ht="86.4">
      <c r="B1349" s="381" t="s">
        <v>2263</v>
      </c>
      <c r="C1349" s="382" t="s">
        <v>711</v>
      </c>
      <c r="D1349" s="383" t="str">
        <f>COMPOSIÇÕES!B14</f>
        <v>SINAPI SP - 08/2023</v>
      </c>
      <c r="E1349" s="344" t="s">
        <v>754</v>
      </c>
      <c r="F1349" s="382" t="s">
        <v>412</v>
      </c>
      <c r="G1349" s="317">
        <v>22</v>
      </c>
      <c r="H1349" s="290">
        <f>SUM(COMPOSIÇÕES!G15:G18)</f>
        <v>37.264400000000002</v>
      </c>
      <c r="I1349" s="287">
        <f>COMPOSIÇÕES!$J$14</f>
        <v>44.530958000000005</v>
      </c>
      <c r="J1349" s="384">
        <f t="shared" ref="J1349" si="183">J1293</f>
        <v>1202.3358660000001</v>
      </c>
    </row>
    <row r="1350" spans="1:10" s="150" customFormat="1" ht="86.4">
      <c r="B1350" s="381" t="s">
        <v>2264</v>
      </c>
      <c r="C1350" s="382" t="s">
        <v>711</v>
      </c>
      <c r="D1350" s="383" t="str">
        <f>COMPOSIÇÕES!B19</f>
        <v>SINAPI SP - 08/2023</v>
      </c>
      <c r="E1350" s="344" t="s">
        <v>755</v>
      </c>
      <c r="F1350" s="382" t="s">
        <v>412</v>
      </c>
      <c r="G1350" s="317">
        <v>22</v>
      </c>
      <c r="H1350" s="290">
        <f>SUM(COMPOSIÇÕES!G20:G23)</f>
        <v>69.234999999999985</v>
      </c>
      <c r="I1350" s="287">
        <f>COMPOSIÇÕES!$J$19</f>
        <v>82.735824999999991</v>
      </c>
      <c r="J1350" s="384">
        <f t="shared" ref="J1350:J1361" si="184">G1350*I1350</f>
        <v>1820.1881499999997</v>
      </c>
    </row>
    <row r="1351" spans="1:10" s="150" customFormat="1" ht="86.4">
      <c r="B1351" s="381" t="s">
        <v>2265</v>
      </c>
      <c r="C1351" s="382" t="s">
        <v>711</v>
      </c>
      <c r="D1351" s="383" t="str">
        <f>COMPOSIÇÕES!B24</f>
        <v>SINAPI SP - 08/2023</v>
      </c>
      <c r="E1351" s="344" t="s">
        <v>747</v>
      </c>
      <c r="F1351" s="382" t="s">
        <v>412</v>
      </c>
      <c r="G1351" s="317">
        <v>61</v>
      </c>
      <c r="H1351" s="290">
        <f>SUM(COMPOSIÇÕES!G25:G28)</f>
        <v>53.322000000000003</v>
      </c>
      <c r="I1351" s="287">
        <f>COMPOSIÇÕES!$J$24</f>
        <v>63.719789999999996</v>
      </c>
      <c r="J1351" s="384">
        <f t="shared" si="184"/>
        <v>3886.9071899999999</v>
      </c>
    </row>
    <row r="1352" spans="1:10" s="393" customFormat="1" ht="86.4">
      <c r="A1352" s="150"/>
      <c r="B1352" s="381" t="s">
        <v>2266</v>
      </c>
      <c r="C1352" s="394" t="s">
        <v>711</v>
      </c>
      <c r="D1352" s="389" t="str">
        <f>COMPOSIÇÕES!B29</f>
        <v xml:space="preserve">SINAPI SP - 08/2023 </v>
      </c>
      <c r="E1352" s="395" t="s">
        <v>748</v>
      </c>
      <c r="F1352" s="394" t="s">
        <v>412</v>
      </c>
      <c r="G1352" s="315">
        <v>61</v>
      </c>
      <c r="H1352" s="392">
        <f>SUM(COMPOSIÇÕES!G30:G33)</f>
        <v>85.438000000000002</v>
      </c>
      <c r="I1352" s="396">
        <f>COMPOSIÇÕES!$J$29</f>
        <v>102.09840999999999</v>
      </c>
      <c r="J1352" s="397">
        <f t="shared" si="184"/>
        <v>6228.0030099999994</v>
      </c>
    </row>
    <row r="1353" spans="1:10" s="393" customFormat="1" ht="28.8">
      <c r="A1353" s="150"/>
      <c r="B1353" s="381" t="s">
        <v>2267</v>
      </c>
      <c r="C1353" s="394" t="str">
        <f t="shared" ref="C1353:I1353" si="185">C1297</f>
        <v>22.02.030</v>
      </c>
      <c r="D1353" s="389" t="str">
        <f t="shared" si="185"/>
        <v>CDHU - BOLETIM 191</v>
      </c>
      <c r="E1353" s="395" t="str">
        <f t="shared" si="185"/>
        <v>Forro em painéis de gesso acartonado, espessura de 12,5mm, fixo</v>
      </c>
      <c r="F1353" s="394" t="str">
        <f t="shared" si="185"/>
        <v>M²</v>
      </c>
      <c r="G1353" s="315">
        <f>7.2*0.55*2*8</f>
        <v>63.360000000000007</v>
      </c>
      <c r="H1353" s="392">
        <f t="shared" si="185"/>
        <v>99.47</v>
      </c>
      <c r="I1353" s="396">
        <f t="shared" si="185"/>
        <v>118.86664999999999</v>
      </c>
      <c r="J1353" s="397">
        <f t="shared" si="184"/>
        <v>7531.3909440000007</v>
      </c>
    </row>
    <row r="1354" spans="1:10" s="150" customFormat="1" ht="57.6">
      <c r="B1354" s="381" t="s">
        <v>2268</v>
      </c>
      <c r="C1354" s="382" t="s">
        <v>711</v>
      </c>
      <c r="D1354" s="383" t="str">
        <f>COMPOSIÇÕES!B36</f>
        <v xml:space="preserve">SINAPI SP - 08/2023 </v>
      </c>
      <c r="E1354" s="398" t="s">
        <v>756</v>
      </c>
      <c r="F1354" s="382" t="s">
        <v>413</v>
      </c>
      <c r="G1354" s="315">
        <v>300</v>
      </c>
      <c r="H1354" s="287">
        <f>SUM(COMPOSIÇÕES!G37:G39)</f>
        <v>84.94</v>
      </c>
      <c r="I1354" s="287">
        <f>COMPOSIÇÕES!$J$36</f>
        <v>101.5033</v>
      </c>
      <c r="J1354" s="384">
        <f t="shared" si="184"/>
        <v>30450.989999999998</v>
      </c>
    </row>
    <row r="1355" spans="1:10" s="335" customFormat="1" ht="28.8">
      <c r="A1355" s="150"/>
      <c r="B1355" s="381" t="s">
        <v>2269</v>
      </c>
      <c r="C1355" s="383" t="str">
        <f>COMPOSIÇÕES!A44</f>
        <v>61.10.565</v>
      </c>
      <c r="D1355" s="383" t="str">
        <f>COMPOSIÇÕES!B44</f>
        <v>CDHU - BOLETIM 191</v>
      </c>
      <c r="E1355" s="388" t="s">
        <v>1042</v>
      </c>
      <c r="F1355" s="382" t="s">
        <v>431</v>
      </c>
      <c r="G1355" s="315">
        <v>5</v>
      </c>
      <c r="H1355" s="287">
        <f>COMPOSIÇÕES!G45</f>
        <v>248.91654375000002</v>
      </c>
      <c r="I1355" s="287">
        <f>COMPOSIÇÕES!$J$44</f>
        <v>297.45526978125002</v>
      </c>
      <c r="J1355" s="384">
        <f t="shared" si="184"/>
        <v>1487.2763489062502</v>
      </c>
    </row>
    <row r="1356" spans="1:10" s="335" customFormat="1" ht="28.8">
      <c r="A1356" s="150"/>
      <c r="B1356" s="381" t="s">
        <v>2270</v>
      </c>
      <c r="C1356" s="383" t="str">
        <f>COMPOSIÇÕES!A46</f>
        <v>61.10.564</v>
      </c>
      <c r="D1356" s="383" t="str">
        <f>COMPOSIÇÕES!B46</f>
        <v>CDHU - BOLETIM 191</v>
      </c>
      <c r="E1356" s="388" t="s">
        <v>1043</v>
      </c>
      <c r="F1356" s="382" t="s">
        <v>431</v>
      </c>
      <c r="G1356" s="315">
        <v>1</v>
      </c>
      <c r="H1356" s="287">
        <f>COMPOSIÇÕES!G47</f>
        <v>49.947131250000005</v>
      </c>
      <c r="I1356" s="287">
        <f>COMPOSIÇÕES!$J$46</f>
        <v>59.68682184375001</v>
      </c>
      <c r="J1356" s="384">
        <f t="shared" si="184"/>
        <v>59.68682184375001</v>
      </c>
    </row>
    <row r="1357" spans="1:10" s="335" customFormat="1" ht="28.8">
      <c r="A1357" s="150"/>
      <c r="B1357" s="381" t="s">
        <v>2271</v>
      </c>
      <c r="C1357" s="383" t="str">
        <f>COMPOSIÇÕES!A48</f>
        <v>61.10.564</v>
      </c>
      <c r="D1357" s="383" t="str">
        <f>COMPOSIÇÕES!B48</f>
        <v>CDHU - BOLETIM 191</v>
      </c>
      <c r="E1357" s="388" t="s">
        <v>1044</v>
      </c>
      <c r="F1357" s="382" t="s">
        <v>431</v>
      </c>
      <c r="G1357" s="315">
        <v>2</v>
      </c>
      <c r="H1357" s="287">
        <f>COMPOSIÇÕES!G49</f>
        <v>82.875240000000005</v>
      </c>
      <c r="I1357" s="287">
        <f>COMPOSIÇÕES!$J$48</f>
        <v>99.035911800000008</v>
      </c>
      <c r="J1357" s="384">
        <f t="shared" si="184"/>
        <v>198.07182360000002</v>
      </c>
    </row>
    <row r="1358" spans="1:10" s="150" customFormat="1" ht="28.8">
      <c r="B1358" s="381" t="s">
        <v>2272</v>
      </c>
      <c r="C1358" s="480" t="str">
        <f>COMPOSIÇÕES!A122</f>
        <v>61.10.581</v>
      </c>
      <c r="D1358" s="480" t="str">
        <f>COMPOSIÇÕES!B122</f>
        <v>CDHU - BOLETIM 191</v>
      </c>
      <c r="E1358" s="388" t="s">
        <v>809</v>
      </c>
      <c r="F1358" s="382" t="s">
        <v>431</v>
      </c>
      <c r="G1358" s="317">
        <v>2</v>
      </c>
      <c r="H1358" s="287">
        <f>SUM(COMPOSIÇÕES!$G$123:$G$123)</f>
        <v>33.890000000000008</v>
      </c>
      <c r="I1358" s="287">
        <f>COMPOSIÇÕES!$J$122</f>
        <v>40.498550000000009</v>
      </c>
      <c r="J1358" s="384">
        <f t="shared" si="184"/>
        <v>80.997100000000017</v>
      </c>
    </row>
    <row r="1359" spans="1:10" s="150" customFormat="1" ht="28.8">
      <c r="B1359" s="381" t="s">
        <v>2273</v>
      </c>
      <c r="C1359" s="480" t="str">
        <f>COMPOSIÇÕES!A124</f>
        <v>61.10.581</v>
      </c>
      <c r="D1359" s="480" t="str">
        <f>COMPOSIÇÕES!B124</f>
        <v>CDHU - BOLETIM 191</v>
      </c>
      <c r="E1359" s="388" t="s">
        <v>1119</v>
      </c>
      <c r="F1359" s="382" t="s">
        <v>431</v>
      </c>
      <c r="G1359" s="317">
        <v>5</v>
      </c>
      <c r="H1359" s="287">
        <f>SUM(COMPOSIÇÕES!$G$125:$G$125)</f>
        <v>203.34</v>
      </c>
      <c r="I1359" s="287">
        <f>COMPOSIÇÕES!$J$124</f>
        <v>242.9913</v>
      </c>
      <c r="J1359" s="384">
        <f t="shared" si="184"/>
        <v>1214.9565</v>
      </c>
    </row>
    <row r="1360" spans="1:10" s="150" customFormat="1" ht="28.8">
      <c r="B1360" s="381" t="s">
        <v>2274</v>
      </c>
      <c r="C1360" s="383" t="str">
        <f>COMPOSIÇÕES!A56</f>
        <v>61.10.581</v>
      </c>
      <c r="D1360" s="383" t="str">
        <f>COMPOSIÇÕES!B56</f>
        <v>CDHU - BOLETIM 191</v>
      </c>
      <c r="E1360" s="388" t="s">
        <v>1117</v>
      </c>
      <c r="F1360" s="382" t="s">
        <v>431</v>
      </c>
      <c r="G1360" s="315">
        <v>1</v>
      </c>
      <c r="H1360" s="287">
        <f>COMPOSIÇÕES!G57</f>
        <v>16.945000000000004</v>
      </c>
      <c r="I1360" s="287">
        <f>COMPOSIÇÕES!$J$56</f>
        <v>20.249275000000004</v>
      </c>
      <c r="J1360" s="384">
        <f t="shared" si="184"/>
        <v>20.249275000000004</v>
      </c>
    </row>
    <row r="1361" spans="1:10" s="150" customFormat="1" ht="28.8">
      <c r="A1361" s="271"/>
      <c r="B1361" s="381" t="s">
        <v>2275</v>
      </c>
      <c r="C1361" s="382" t="s">
        <v>711</v>
      </c>
      <c r="D1361" s="383" t="str">
        <f>COMPOSIÇÕES!B58</f>
        <v xml:space="preserve">SINAPI SP - 08/2023 </v>
      </c>
      <c r="E1361" s="388" t="s">
        <v>758</v>
      </c>
      <c r="F1361" s="382" t="s">
        <v>412</v>
      </c>
      <c r="G1361" s="315">
        <v>130</v>
      </c>
      <c r="H1361" s="287">
        <f>SUM(COMPOSIÇÕES!G59:G61)</f>
        <v>31.499000000000002</v>
      </c>
      <c r="I1361" s="287">
        <f>COMPOSIÇÕES!$J$58</f>
        <v>37.641304999999996</v>
      </c>
      <c r="J1361" s="384">
        <f t="shared" si="184"/>
        <v>4893.3696499999996</v>
      </c>
    </row>
    <row r="1362" spans="1:10" s="150" customFormat="1" ht="28.8">
      <c r="A1362" s="271"/>
      <c r="B1362" s="381" t="s">
        <v>2276</v>
      </c>
      <c r="C1362" s="382" t="s">
        <v>711</v>
      </c>
      <c r="D1362" s="383" t="str">
        <f>COMPOSIÇÕES!B64</f>
        <v>SINAPI SP - 08/2023</v>
      </c>
      <c r="E1362" s="388" t="s">
        <v>697</v>
      </c>
      <c r="F1362" s="382" t="s">
        <v>431</v>
      </c>
      <c r="G1362" s="315">
        <v>14</v>
      </c>
      <c r="H1362" s="287">
        <f>SUM(COMPOSIÇÕES!$G$65:$G$67)</f>
        <v>92.32</v>
      </c>
      <c r="I1362" s="287">
        <f>COMPOSIÇÕES!$J$64</f>
        <v>110.32240000000002</v>
      </c>
      <c r="J1362" s="384">
        <f>I1362*G1362</f>
        <v>1544.5136000000002</v>
      </c>
    </row>
    <row r="1363" spans="1:10" s="150" customFormat="1" ht="28.8">
      <c r="A1363" s="271"/>
      <c r="B1363" s="381" t="s">
        <v>2277</v>
      </c>
      <c r="C1363" s="382" t="s">
        <v>711</v>
      </c>
      <c r="D1363" s="383" t="str">
        <f>COMPOSIÇÕES!B68</f>
        <v xml:space="preserve">SINAPI SP - 08/2023 </v>
      </c>
      <c r="E1363" s="388" t="s">
        <v>762</v>
      </c>
      <c r="F1363" s="382" t="s">
        <v>415</v>
      </c>
      <c r="G1363" s="315">
        <v>8</v>
      </c>
      <c r="H1363" s="287">
        <f>SUM(COMPOSIÇÕES!$G$69:$G$70)</f>
        <v>58.91</v>
      </c>
      <c r="I1363" s="287">
        <f>COMPOSIÇÕES!$J$68</f>
        <v>70.397449999999992</v>
      </c>
      <c r="J1363" s="384">
        <f>I1363*G1363</f>
        <v>563.17959999999994</v>
      </c>
    </row>
    <row r="1364" spans="1:10" s="150" customFormat="1" ht="28.8">
      <c r="A1364" s="271"/>
      <c r="B1364" s="381" t="s">
        <v>2278</v>
      </c>
      <c r="C1364" s="399" t="s">
        <v>763</v>
      </c>
      <c r="D1364" s="273" t="str">
        <f>COMPOSIÇÕES!B71</f>
        <v xml:space="preserve">SINAPI SP - 08/2023 </v>
      </c>
      <c r="E1364" s="400" t="s">
        <v>761</v>
      </c>
      <c r="F1364" s="273" t="s">
        <v>541</v>
      </c>
      <c r="G1364" s="316">
        <v>2</v>
      </c>
      <c r="H1364" s="287">
        <f>SUM(COMPOSIÇÕES!$G$72:$G$72)</f>
        <v>28.8</v>
      </c>
      <c r="I1364" s="287">
        <f>COMPOSIÇÕES!$J$71</f>
        <v>34.416000000000004</v>
      </c>
      <c r="J1364" s="384">
        <f>I1364*G1364</f>
        <v>68.832000000000008</v>
      </c>
    </row>
    <row r="1365" spans="1:10" s="150" customFormat="1">
      <c r="A1365" s="271"/>
      <c r="B1365" s="381" t="s">
        <v>2423</v>
      </c>
      <c r="C1365" s="399" t="s">
        <v>759</v>
      </c>
      <c r="D1365" s="273" t="str">
        <f>COMPOSIÇÕES!B73</f>
        <v>FDE - 07/2023</v>
      </c>
      <c r="E1365" s="400" t="s">
        <v>760</v>
      </c>
      <c r="F1365" s="273" t="s">
        <v>701</v>
      </c>
      <c r="G1365" s="316">
        <v>1</v>
      </c>
      <c r="H1365" s="530">
        <f>VLOOKUP(C1365,COMPOSIÇÕES!A:J,6,FALSE)</f>
        <v>38.485355648535567</v>
      </c>
      <c r="I1365" s="287">
        <f>COMPOSIÇÕES!$J$73</f>
        <v>45.99</v>
      </c>
      <c r="J1365" s="384">
        <f>I1365*G1365</f>
        <v>45.99</v>
      </c>
    </row>
    <row r="1366" spans="1:10" s="150" customFormat="1">
      <c r="A1366" s="271"/>
      <c r="B1366" s="381" t="s">
        <v>2456</v>
      </c>
      <c r="C1366" s="399" t="s">
        <v>764</v>
      </c>
      <c r="D1366" s="273" t="str">
        <f>COMPOSIÇÕES!B74</f>
        <v>FDE - 07/2023</v>
      </c>
      <c r="E1366" s="400" t="s">
        <v>765</v>
      </c>
      <c r="F1366" s="273" t="s">
        <v>541</v>
      </c>
      <c r="G1366" s="316">
        <v>3</v>
      </c>
      <c r="H1366" s="530">
        <f>VLOOKUP(C1366,COMPOSIÇÕES!A:J,6,FALSE)</f>
        <v>210.81171548117152</v>
      </c>
      <c r="I1366" s="287">
        <f>COMPOSIÇÕES!$J$74</f>
        <v>251.91999999999996</v>
      </c>
      <c r="J1366" s="384">
        <f>I1366*G1366</f>
        <v>755.75999999999988</v>
      </c>
    </row>
    <row r="1367" spans="1:10" s="263" customFormat="1">
      <c r="B1367" s="579" t="s">
        <v>686</v>
      </c>
      <c r="C1367" s="580"/>
      <c r="D1367" s="580"/>
      <c r="E1367" s="580"/>
      <c r="F1367" s="580"/>
      <c r="G1367" s="580"/>
      <c r="H1367" s="580"/>
      <c r="I1367" s="581"/>
      <c r="J1367" s="296">
        <f>SUM(J1348:J1366)</f>
        <v>67935.215968950011</v>
      </c>
    </row>
    <row r="1368" spans="1:10" s="263" customFormat="1">
      <c r="B1368" s="237" t="s">
        <v>679</v>
      </c>
      <c r="C1368" s="238"/>
      <c r="D1368" s="533"/>
      <c r="E1368" s="239" t="s">
        <v>526</v>
      </c>
      <c r="F1368" s="238"/>
      <c r="G1368" s="312"/>
      <c r="H1368" s="300"/>
      <c r="I1368" s="285"/>
      <c r="J1368" s="294"/>
    </row>
    <row r="1369" spans="1:10" s="276" customFormat="1">
      <c r="A1369" s="263"/>
      <c r="B1369" s="381" t="s">
        <v>680</v>
      </c>
      <c r="C1369" s="382" t="s">
        <v>711</v>
      </c>
      <c r="D1369" s="383" t="str">
        <f>COMPOSIÇÕES!B75</f>
        <v>FDE - 07/2023</v>
      </c>
      <c r="E1369" s="344" t="s">
        <v>745</v>
      </c>
      <c r="F1369" s="382" t="s">
        <v>431</v>
      </c>
      <c r="G1369" s="316">
        <v>64</v>
      </c>
      <c r="H1369" s="290">
        <f>SUM(COMPOSIÇÕES!G76:G78)</f>
        <v>34.013252032520327</v>
      </c>
      <c r="I1369" s="287">
        <f>COMPOSIÇÕES!$J$75</f>
        <v>40.645836178861792</v>
      </c>
      <c r="J1369" s="384">
        <f t="shared" ref="J1369:J1391" si="186">G1369*I1369</f>
        <v>2601.3335154471547</v>
      </c>
    </row>
    <row r="1370" spans="1:10" s="276" customFormat="1">
      <c r="A1370" s="263"/>
      <c r="B1370" s="381" t="s">
        <v>681</v>
      </c>
      <c r="C1370" s="382" t="s">
        <v>739</v>
      </c>
      <c r="D1370" s="383" t="str">
        <f>COMPOSIÇÕES!B83</f>
        <v>FDE - 07/2023</v>
      </c>
      <c r="E1370" s="344" t="s">
        <v>766</v>
      </c>
      <c r="F1370" s="382" t="s">
        <v>431</v>
      </c>
      <c r="G1370" s="316">
        <v>7</v>
      </c>
      <c r="H1370" s="530">
        <f>VLOOKUP(C1370,COMPOSIÇÕES!A:J,6,FALSE)</f>
        <v>32.35146443514644</v>
      </c>
      <c r="I1370" s="287">
        <f>COMPOSIÇÕES!$J$83</f>
        <v>38.659999999999997</v>
      </c>
      <c r="J1370" s="384">
        <f t="shared" si="186"/>
        <v>270.62</v>
      </c>
    </row>
    <row r="1371" spans="1:10" s="276" customFormat="1">
      <c r="A1371" s="263"/>
      <c r="B1371" s="381" t="s">
        <v>682</v>
      </c>
      <c r="C1371" s="382" t="s">
        <v>739</v>
      </c>
      <c r="D1371" s="383" t="str">
        <f>COMPOSIÇÕES!B83</f>
        <v>FDE - 07/2023</v>
      </c>
      <c r="E1371" s="344" t="s">
        <v>767</v>
      </c>
      <c r="F1371" s="382" t="s">
        <v>431</v>
      </c>
      <c r="G1371" s="316">
        <v>24</v>
      </c>
      <c r="H1371" s="530">
        <f>VLOOKUP(C1371,COMPOSIÇÕES!A:J,6,FALSE)</f>
        <v>32.35146443514644</v>
      </c>
      <c r="I1371" s="287">
        <f>COMPOSIÇÕES!$J$83</f>
        <v>38.659999999999997</v>
      </c>
      <c r="J1371" s="384">
        <f t="shared" si="186"/>
        <v>927.83999999999992</v>
      </c>
    </row>
    <row r="1372" spans="1:10" s="276" customFormat="1">
      <c r="A1372" s="263"/>
      <c r="B1372" s="381" t="s">
        <v>683</v>
      </c>
      <c r="C1372" s="382" t="s">
        <v>739</v>
      </c>
      <c r="D1372" s="383" t="str">
        <f>COMPOSIÇÕES!B83</f>
        <v>FDE - 07/2023</v>
      </c>
      <c r="E1372" s="344" t="s">
        <v>768</v>
      </c>
      <c r="F1372" s="382" t="s">
        <v>431</v>
      </c>
      <c r="G1372" s="316">
        <v>7</v>
      </c>
      <c r="H1372" s="530">
        <f>VLOOKUP(C1372,COMPOSIÇÕES!A:J,6,FALSE)</f>
        <v>32.35146443514644</v>
      </c>
      <c r="I1372" s="287">
        <f>COMPOSIÇÕES!$J$83</f>
        <v>38.659999999999997</v>
      </c>
      <c r="J1372" s="384">
        <f t="shared" si="186"/>
        <v>270.62</v>
      </c>
    </row>
    <row r="1373" spans="1:10" s="276" customFormat="1" ht="43.2">
      <c r="A1373" s="263"/>
      <c r="B1373" s="381" t="s">
        <v>684</v>
      </c>
      <c r="C1373" s="382" t="s">
        <v>711</v>
      </c>
      <c r="D1373" s="383" t="str">
        <f>COMPOSIÇÕES!B233</f>
        <v>SINAPI SP - 08/2023</v>
      </c>
      <c r="E1373" s="344" t="s">
        <v>831</v>
      </c>
      <c r="F1373" s="382" t="s">
        <v>431</v>
      </c>
      <c r="G1373" s="316">
        <v>2</v>
      </c>
      <c r="H1373" s="290">
        <f>SUM(COMPOSIÇÕES!G234:G236)</f>
        <v>42.53</v>
      </c>
      <c r="I1373" s="287">
        <f>COMPOSIÇÕES!$J$233</f>
        <v>50.823350000000005</v>
      </c>
      <c r="J1373" s="384">
        <f t="shared" si="186"/>
        <v>101.64670000000001</v>
      </c>
    </row>
    <row r="1374" spans="1:10" s="276" customFormat="1">
      <c r="A1374" s="263"/>
      <c r="B1374" s="381" t="s">
        <v>2279</v>
      </c>
      <c r="C1374" s="382" t="s">
        <v>735</v>
      </c>
      <c r="D1374" s="383" t="str">
        <f>COMPOSIÇÕES!B89</f>
        <v>FDE - 07/2023</v>
      </c>
      <c r="E1374" s="344" t="s">
        <v>736</v>
      </c>
      <c r="F1374" s="382" t="s">
        <v>431</v>
      </c>
      <c r="G1374" s="316">
        <v>95</v>
      </c>
      <c r="H1374" s="530">
        <f>VLOOKUP(C1374,COMPOSIÇÕES!A:J,6,FALSE)</f>
        <v>7.8158995815899575</v>
      </c>
      <c r="I1374" s="287">
        <f>COMPOSIÇÕES!$J$89</f>
        <v>9.34</v>
      </c>
      <c r="J1374" s="384">
        <f t="shared" si="186"/>
        <v>887.3</v>
      </c>
    </row>
    <row r="1375" spans="1:10" s="276" customFormat="1" ht="28.8">
      <c r="A1375" s="263"/>
      <c r="B1375" s="381" t="s">
        <v>2280</v>
      </c>
      <c r="C1375" s="383" t="str">
        <f>COMPOSIÇÕES!A91</f>
        <v>38.21.920</v>
      </c>
      <c r="D1375" s="383" t="str">
        <f>COMPOSIÇÕES!B91</f>
        <v>CDHU - BOLETIM 191</v>
      </c>
      <c r="E1375" s="344" t="str">
        <f>COMPOSIÇÕES!C91</f>
        <v>Eletrocalha perfurada galvanizada a fogo, 100 x 50 mm, com acessórios</v>
      </c>
      <c r="F1375" s="382" t="s">
        <v>412</v>
      </c>
      <c r="G1375" s="316">
        <f>20*3</f>
        <v>60</v>
      </c>
      <c r="H1375" s="530">
        <f>VLOOKUP(C1375,COMPOSIÇÕES!A:J,6,FALSE)</f>
        <v>98.38</v>
      </c>
      <c r="I1375" s="287">
        <f>COMPOSIÇÕES!$J$91</f>
        <v>117.5641</v>
      </c>
      <c r="J1375" s="384">
        <f t="shared" si="186"/>
        <v>7053.8459999999995</v>
      </c>
    </row>
    <row r="1376" spans="1:10" s="276" customFormat="1" ht="28.8">
      <c r="A1376" s="263"/>
      <c r="B1376" s="381" t="s">
        <v>2281</v>
      </c>
      <c r="C1376" s="383" t="str">
        <f>COMPOSIÇÕES!A92</f>
        <v>38.06.040</v>
      </c>
      <c r="D1376" s="383" t="str">
        <f>COMPOSIÇÕES!B92</f>
        <v>CDHU - BOLETIM 191</v>
      </c>
      <c r="E1376" s="344" t="str">
        <f>COMPOSIÇÕES!C92</f>
        <v>Eletroduto galvanizado a quente conforme NBR5598 ‐ 3/4´ com acessórios</v>
      </c>
      <c r="F1376" s="382" t="s">
        <v>412</v>
      </c>
      <c r="G1376" s="316">
        <f>35*3</f>
        <v>105</v>
      </c>
      <c r="H1376" s="530">
        <f>VLOOKUP(C1376,COMPOSIÇÕES!A:J,6,FALSE)</f>
        <v>60.65</v>
      </c>
      <c r="I1376" s="287">
        <f>COMPOSIÇÕES!$J$92</f>
        <v>72.476749999999996</v>
      </c>
      <c r="J1376" s="384">
        <f t="shared" si="186"/>
        <v>7610.0587499999992</v>
      </c>
    </row>
    <row r="1377" spans="1:10" s="276" customFormat="1" ht="28.8">
      <c r="A1377" s="263"/>
      <c r="B1377" s="381" t="s">
        <v>2282</v>
      </c>
      <c r="C1377" s="383" t="str">
        <f>COMPOSIÇÕES!A191</f>
        <v>38.06.120</v>
      </c>
      <c r="D1377" s="383" t="str">
        <f>COMPOSIÇÕES!B191</f>
        <v>CDHU - BOLETIM 191</v>
      </c>
      <c r="E1377" s="344" t="str">
        <f>COMPOSIÇÕES!C191</f>
        <v>Eletroduto galvanizado a quente conforme NBR5598 ‐ 2´ com acessórios</v>
      </c>
      <c r="F1377" s="382" t="s">
        <v>412</v>
      </c>
      <c r="G1377" s="316">
        <f>2*3</f>
        <v>6</v>
      </c>
      <c r="H1377" s="530">
        <f>VLOOKUP(C1377,COMPOSIÇÕES!A:J,6,FALSE)</f>
        <v>128.12</v>
      </c>
      <c r="I1377" s="287">
        <f>COMPOSIÇÕES!$J$191</f>
        <v>153.10340000000002</v>
      </c>
      <c r="J1377" s="384">
        <f t="shared" si="186"/>
        <v>918.62040000000013</v>
      </c>
    </row>
    <row r="1378" spans="1:10" s="276" customFormat="1">
      <c r="A1378" s="263"/>
      <c r="B1378" s="381" t="s">
        <v>2283</v>
      </c>
      <c r="C1378" s="382" t="s">
        <v>729</v>
      </c>
      <c r="D1378" s="383" t="s">
        <v>2474</v>
      </c>
      <c r="E1378" s="344" t="s">
        <v>730</v>
      </c>
      <c r="F1378" s="382" t="s">
        <v>412</v>
      </c>
      <c r="G1378" s="316">
        <v>1</v>
      </c>
      <c r="H1378" s="530">
        <f>VLOOKUP(C1378,COMPOSIÇÕES!A:J,6,FALSE)</f>
        <v>50.77</v>
      </c>
      <c r="I1378" s="287">
        <f>COMPOSIÇÕES!$J$95</f>
        <v>60.670150000000007</v>
      </c>
      <c r="J1378" s="384">
        <f t="shared" si="186"/>
        <v>60.670150000000007</v>
      </c>
    </row>
    <row r="1379" spans="1:10" s="276" customFormat="1" ht="28.8">
      <c r="A1379" s="263"/>
      <c r="B1379" s="381" t="s">
        <v>2284</v>
      </c>
      <c r="C1379" s="382">
        <v>91927</v>
      </c>
      <c r="D1379" s="383" t="str">
        <f>COMPOSIÇÕES!B96</f>
        <v>SINAPI SP - 08/2023</v>
      </c>
      <c r="E1379" s="344" t="s">
        <v>770</v>
      </c>
      <c r="F1379" s="382" t="s">
        <v>412</v>
      </c>
      <c r="G1379" s="316">
        <v>400</v>
      </c>
      <c r="H1379" s="530">
        <f>VLOOKUP(C1379,COMPOSIÇÕES!A:J,6,FALSE)</f>
        <v>4.8</v>
      </c>
      <c r="I1379" s="287">
        <f>COMPOSIÇÕES!$J$96</f>
        <v>5.7359999999999998</v>
      </c>
      <c r="J1379" s="384">
        <f t="shared" si="186"/>
        <v>2294.4</v>
      </c>
    </row>
    <row r="1380" spans="1:10" s="276" customFormat="1" ht="28.8">
      <c r="A1380" s="263"/>
      <c r="B1380" s="381" t="s">
        <v>2285</v>
      </c>
      <c r="C1380" s="382">
        <v>91927</v>
      </c>
      <c r="D1380" s="383" t="str">
        <f t="shared" ref="D1380:D1382" si="187">$D$1379</f>
        <v>SINAPI SP - 08/2023</v>
      </c>
      <c r="E1380" s="344" t="s">
        <v>771</v>
      </c>
      <c r="F1380" s="382" t="s">
        <v>412</v>
      </c>
      <c r="G1380" s="316">
        <v>400</v>
      </c>
      <c r="H1380" s="530">
        <f>VLOOKUP(C1380,COMPOSIÇÕES!A:J,6,FALSE)</f>
        <v>4.8</v>
      </c>
      <c r="I1380" s="287">
        <f>COMPOSIÇÕES!$J$96</f>
        <v>5.7359999999999998</v>
      </c>
      <c r="J1380" s="384">
        <f t="shared" si="186"/>
        <v>2294.4</v>
      </c>
    </row>
    <row r="1381" spans="1:10" s="276" customFormat="1" ht="28.8">
      <c r="A1381" s="263"/>
      <c r="B1381" s="381" t="s">
        <v>2286</v>
      </c>
      <c r="C1381" s="382">
        <v>91927</v>
      </c>
      <c r="D1381" s="383" t="str">
        <f t="shared" si="187"/>
        <v>SINAPI SP - 08/2023</v>
      </c>
      <c r="E1381" s="344" t="s">
        <v>772</v>
      </c>
      <c r="F1381" s="382" t="s">
        <v>412</v>
      </c>
      <c r="G1381" s="316">
        <v>400</v>
      </c>
      <c r="H1381" s="530">
        <f>VLOOKUP(C1381,COMPOSIÇÕES!A:J,6,FALSE)</f>
        <v>4.8</v>
      </c>
      <c r="I1381" s="287">
        <f>COMPOSIÇÕES!$J$96</f>
        <v>5.7359999999999998</v>
      </c>
      <c r="J1381" s="384">
        <f t="shared" si="186"/>
        <v>2294.4</v>
      </c>
    </row>
    <row r="1382" spans="1:10" s="276" customFormat="1" ht="28.8">
      <c r="A1382" s="263"/>
      <c r="B1382" s="381" t="s">
        <v>2287</v>
      </c>
      <c r="C1382" s="382">
        <v>91927</v>
      </c>
      <c r="D1382" s="383" t="str">
        <f t="shared" si="187"/>
        <v>SINAPI SP - 08/2023</v>
      </c>
      <c r="E1382" s="344" t="s">
        <v>773</v>
      </c>
      <c r="F1382" s="382" t="s">
        <v>412</v>
      </c>
      <c r="G1382" s="316">
        <v>150</v>
      </c>
      <c r="H1382" s="530">
        <f>VLOOKUP(C1382,COMPOSIÇÕES!A:J,6,FALSE)</f>
        <v>4.8</v>
      </c>
      <c r="I1382" s="287">
        <f>COMPOSIÇÕES!$J$96</f>
        <v>5.7359999999999998</v>
      </c>
      <c r="J1382" s="384">
        <f t="shared" si="186"/>
        <v>860.4</v>
      </c>
    </row>
    <row r="1383" spans="1:10" s="276" customFormat="1" ht="28.8">
      <c r="A1383" s="263"/>
      <c r="B1383" s="381" t="s">
        <v>2288</v>
      </c>
      <c r="C1383" s="382">
        <v>92986</v>
      </c>
      <c r="D1383" s="383" t="str">
        <f>COMPOSIÇÕES!B164</f>
        <v>SINAPI SP - 08/2023</v>
      </c>
      <c r="E1383" s="344" t="s">
        <v>857</v>
      </c>
      <c r="F1383" s="382" t="s">
        <v>412</v>
      </c>
      <c r="G1383" s="316">
        <v>20</v>
      </c>
      <c r="H1383" s="530">
        <f>VLOOKUP(C1383,COMPOSIÇÕES!A:J,6,FALSE)</f>
        <v>32.17</v>
      </c>
      <c r="I1383" s="287">
        <f>COMPOSIÇÕES!$J$164</f>
        <v>38.443150000000003</v>
      </c>
      <c r="J1383" s="384">
        <f t="shared" si="186"/>
        <v>768.86300000000006</v>
      </c>
    </row>
    <row r="1384" spans="1:10" s="276" customFormat="1" ht="28.8">
      <c r="A1384" s="263"/>
      <c r="B1384" s="381" t="s">
        <v>2289</v>
      </c>
      <c r="C1384" s="382">
        <v>92990</v>
      </c>
      <c r="D1384" s="383" t="str">
        <f>COMPOSIÇÕES!B165</f>
        <v>SINAPI SP - 08/2023</v>
      </c>
      <c r="E1384" s="344" t="s">
        <v>853</v>
      </c>
      <c r="F1384" s="382" t="s">
        <v>412</v>
      </c>
      <c r="G1384" s="316">
        <v>20</v>
      </c>
      <c r="H1384" s="530">
        <f>VLOOKUP(C1384,COMPOSIÇÕES!A:J,6,FALSE)</f>
        <v>63.26</v>
      </c>
      <c r="I1384" s="287">
        <f>COMPOSIÇÕES!$J$165</f>
        <v>75.595699999999994</v>
      </c>
      <c r="J1384" s="384">
        <f t="shared" si="186"/>
        <v>1511.9139999999998</v>
      </c>
    </row>
    <row r="1385" spans="1:10" s="276" customFormat="1" ht="28.8">
      <c r="A1385" s="263"/>
      <c r="B1385" s="381" t="s">
        <v>2290</v>
      </c>
      <c r="C1385" s="382">
        <v>92990</v>
      </c>
      <c r="D1385" s="383" t="str">
        <f t="shared" ref="D1385:D1387" si="188">$D$1384</f>
        <v>SINAPI SP - 08/2023</v>
      </c>
      <c r="E1385" s="344" t="s">
        <v>854</v>
      </c>
      <c r="F1385" s="382" t="s">
        <v>412</v>
      </c>
      <c r="G1385" s="316">
        <v>20</v>
      </c>
      <c r="H1385" s="530">
        <f>VLOOKUP(C1385,COMPOSIÇÕES!A:J,6,FALSE)</f>
        <v>63.26</v>
      </c>
      <c r="I1385" s="287">
        <f>COMPOSIÇÕES!$J$165</f>
        <v>75.595699999999994</v>
      </c>
      <c r="J1385" s="384">
        <f t="shared" si="186"/>
        <v>1511.9139999999998</v>
      </c>
    </row>
    <row r="1386" spans="1:10" s="276" customFormat="1" ht="28.8">
      <c r="A1386" s="263"/>
      <c r="B1386" s="381" t="s">
        <v>2291</v>
      </c>
      <c r="C1386" s="382">
        <v>92990</v>
      </c>
      <c r="D1386" s="383" t="str">
        <f t="shared" si="188"/>
        <v>SINAPI SP - 08/2023</v>
      </c>
      <c r="E1386" s="344" t="s">
        <v>855</v>
      </c>
      <c r="F1386" s="382" t="s">
        <v>412</v>
      </c>
      <c r="G1386" s="316">
        <v>20</v>
      </c>
      <c r="H1386" s="530">
        <f>VLOOKUP(C1386,COMPOSIÇÕES!A:J,6,FALSE)</f>
        <v>63.26</v>
      </c>
      <c r="I1386" s="287">
        <f>COMPOSIÇÕES!$J$165</f>
        <v>75.595699999999994</v>
      </c>
      <c r="J1386" s="384">
        <f t="shared" si="186"/>
        <v>1511.9139999999998</v>
      </c>
    </row>
    <row r="1387" spans="1:10" s="276" customFormat="1" ht="28.8">
      <c r="A1387" s="263"/>
      <c r="B1387" s="381" t="s">
        <v>2292</v>
      </c>
      <c r="C1387" s="382">
        <v>92990</v>
      </c>
      <c r="D1387" s="383" t="str">
        <f t="shared" si="188"/>
        <v>SINAPI SP - 08/2023</v>
      </c>
      <c r="E1387" s="344" t="s">
        <v>856</v>
      </c>
      <c r="F1387" s="382" t="s">
        <v>412</v>
      </c>
      <c r="G1387" s="316">
        <v>20</v>
      </c>
      <c r="H1387" s="530">
        <f>VLOOKUP(C1387,COMPOSIÇÕES!A:J,6,FALSE)</f>
        <v>63.26</v>
      </c>
      <c r="I1387" s="287">
        <f>COMPOSIÇÕES!$J$165</f>
        <v>75.595699999999994</v>
      </c>
      <c r="J1387" s="384">
        <f t="shared" si="186"/>
        <v>1511.9139999999998</v>
      </c>
    </row>
    <row r="1388" spans="1:10" s="276" customFormat="1">
      <c r="A1388" s="263"/>
      <c r="B1388" s="381" t="s">
        <v>2293</v>
      </c>
      <c r="C1388" s="382" t="s">
        <v>711</v>
      </c>
      <c r="D1388" s="383" t="str">
        <f>COMPOSIÇÕES!B103</f>
        <v>FDE - 07/2023</v>
      </c>
      <c r="E1388" s="344" t="s">
        <v>732</v>
      </c>
      <c r="F1388" s="382" t="s">
        <v>431</v>
      </c>
      <c r="G1388" s="316">
        <v>12</v>
      </c>
      <c r="H1388" s="530">
        <f>COMPOSIÇÕES!F103</f>
        <v>22.98</v>
      </c>
      <c r="I1388" s="287">
        <f>COMPOSIÇÕES!$J$103</f>
        <v>27.461100000000002</v>
      </c>
      <c r="J1388" s="384">
        <f t="shared" si="186"/>
        <v>329.53320000000002</v>
      </c>
    </row>
    <row r="1389" spans="1:10" s="276" customFormat="1">
      <c r="A1389" s="263"/>
      <c r="B1389" s="381" t="s">
        <v>2294</v>
      </c>
      <c r="C1389" s="382" t="s">
        <v>711</v>
      </c>
      <c r="D1389" s="383" t="str">
        <f>COMPOSIÇÕES!B104</f>
        <v>FDE - 07/2023</v>
      </c>
      <c r="E1389" s="344" t="s">
        <v>731</v>
      </c>
      <c r="F1389" s="382" t="s">
        <v>431</v>
      </c>
      <c r="G1389" s="316">
        <v>12</v>
      </c>
      <c r="H1389" s="530">
        <f>COMPOSIÇÕES!F104</f>
        <v>34.06</v>
      </c>
      <c r="I1389" s="287">
        <f>COMPOSIÇÕES!$J$104</f>
        <v>40.701700000000002</v>
      </c>
      <c r="J1389" s="384">
        <f t="shared" si="186"/>
        <v>488.42040000000003</v>
      </c>
    </row>
    <row r="1390" spans="1:10" s="276" customFormat="1">
      <c r="A1390" s="263"/>
      <c r="B1390" s="381" t="s">
        <v>2295</v>
      </c>
      <c r="C1390" s="382" t="s">
        <v>711</v>
      </c>
      <c r="D1390" s="383" t="str">
        <f>COMPOSIÇÕES!B166</f>
        <v>FDE - 07/2023</v>
      </c>
      <c r="E1390" s="344" t="s">
        <v>872</v>
      </c>
      <c r="F1390" s="382" t="s">
        <v>431</v>
      </c>
      <c r="G1390" s="316">
        <v>12</v>
      </c>
      <c r="H1390" s="530">
        <f>COMPOSIÇÕES!F166</f>
        <v>47.32</v>
      </c>
      <c r="I1390" s="287">
        <f>COMPOSIÇÕES!$J$166</f>
        <v>56.547400000000003</v>
      </c>
      <c r="J1390" s="384">
        <f t="shared" si="186"/>
        <v>678.56880000000001</v>
      </c>
    </row>
    <row r="1391" spans="1:10" s="263" customFormat="1" ht="72">
      <c r="B1391" s="381" t="s">
        <v>2296</v>
      </c>
      <c r="C1391" s="275" t="s">
        <v>711</v>
      </c>
      <c r="D1391" s="277" t="str">
        <f>COMPOSIÇÕES!B325</f>
        <v>CDHU - BOLETIM 191 + FDE - 07/2023 + SINAPI SP - 08/2023</v>
      </c>
      <c r="E1391" s="278" t="s">
        <v>1023</v>
      </c>
      <c r="F1391" s="275" t="s">
        <v>530</v>
      </c>
      <c r="G1391" s="313">
        <v>1</v>
      </c>
      <c r="H1391" s="301">
        <f>SUM(COMPOSIÇÕES!G326:G332)</f>
        <v>6800.7791196652715</v>
      </c>
      <c r="I1391" s="286">
        <f>COMPOSIÇÕES!$J$325</f>
        <v>8126.9310479999986</v>
      </c>
      <c r="J1391" s="295">
        <f t="shared" si="186"/>
        <v>8126.9310479999986</v>
      </c>
    </row>
    <row r="1392" spans="1:10" s="263" customFormat="1">
      <c r="B1392" s="579" t="s">
        <v>687</v>
      </c>
      <c r="C1392" s="580"/>
      <c r="D1392" s="580"/>
      <c r="E1392" s="580"/>
      <c r="F1392" s="580"/>
      <c r="G1392" s="580"/>
      <c r="H1392" s="580"/>
      <c r="I1392" s="581"/>
      <c r="J1392" s="296">
        <f>SUM(J1369:J1391)</f>
        <v>44886.127963447158</v>
      </c>
    </row>
    <row r="1393" spans="1:10" s="263" customFormat="1">
      <c r="B1393" s="237" t="s">
        <v>688</v>
      </c>
      <c r="C1393" s="238"/>
      <c r="D1393" s="533"/>
      <c r="E1393" s="239" t="s">
        <v>650</v>
      </c>
      <c r="F1393" s="238"/>
      <c r="G1393" s="312"/>
      <c r="H1393" s="300"/>
      <c r="I1393" s="285"/>
      <c r="J1393" s="294"/>
    </row>
    <row r="1394" spans="1:10" s="276" customFormat="1">
      <c r="A1394" s="263"/>
      <c r="B1394" s="381" t="s">
        <v>689</v>
      </c>
      <c r="C1394" s="382" t="s">
        <v>708</v>
      </c>
      <c r="D1394" s="383" t="str">
        <f>COMPOSIÇÕES!B115</f>
        <v>FDE - 07/2023</v>
      </c>
      <c r="E1394" s="344" t="s">
        <v>651</v>
      </c>
      <c r="F1394" s="382" t="s">
        <v>541</v>
      </c>
      <c r="G1394" s="316">
        <v>100</v>
      </c>
      <c r="H1394" s="290">
        <f>COMPOSIÇÕES!$G$116</f>
        <v>5.116260162601626</v>
      </c>
      <c r="I1394" s="287">
        <f>COMPOSIÇÕES!$J$115</f>
        <v>6.1139308943089432</v>
      </c>
      <c r="J1394" s="384">
        <f>G1394*I1394</f>
        <v>611.39308943089429</v>
      </c>
    </row>
    <row r="1395" spans="1:10" s="263" customFormat="1">
      <c r="B1395" s="579" t="s">
        <v>690</v>
      </c>
      <c r="C1395" s="580"/>
      <c r="D1395" s="580"/>
      <c r="E1395" s="580"/>
      <c r="F1395" s="580"/>
      <c r="G1395" s="580"/>
      <c r="H1395" s="580"/>
      <c r="I1395" s="581"/>
      <c r="J1395" s="296">
        <f>J1394</f>
        <v>611.39308943089429</v>
      </c>
    </row>
    <row r="1396" spans="1:10" s="263" customFormat="1" ht="25.5" customHeight="1" thickBot="1">
      <c r="B1396" s="564" t="s">
        <v>692</v>
      </c>
      <c r="C1396" s="565"/>
      <c r="D1396" s="565"/>
      <c r="E1396" s="565"/>
      <c r="F1396" s="565"/>
      <c r="G1396" s="565"/>
      <c r="H1396" s="565"/>
      <c r="I1396" s="566"/>
      <c r="J1396" s="297">
        <f>J1346+J1367+J1392+J1395</f>
        <v>115964.97607932807</v>
      </c>
    </row>
    <row r="1397" spans="1:10" s="263" customFormat="1">
      <c r="B1397" s="264" t="s">
        <v>521</v>
      </c>
      <c r="C1397" s="265"/>
      <c r="D1397" s="534"/>
      <c r="E1397" s="266" t="s">
        <v>524</v>
      </c>
      <c r="F1397" s="265"/>
      <c r="G1397" s="310"/>
      <c r="H1397" s="298"/>
      <c r="I1397" s="283"/>
      <c r="J1397" s="292"/>
    </row>
    <row r="1398" spans="1:10" s="263" customFormat="1" ht="6" customHeight="1">
      <c r="B1398" s="234"/>
      <c r="C1398" s="235"/>
      <c r="D1398" s="532"/>
      <c r="E1398" s="236"/>
      <c r="F1398" s="235"/>
      <c r="G1398" s="311"/>
      <c r="H1398" s="299"/>
      <c r="I1398" s="284"/>
      <c r="J1398" s="293"/>
    </row>
    <row r="1399" spans="1:10" s="263" customFormat="1">
      <c r="B1399" s="237" t="s">
        <v>522</v>
      </c>
      <c r="C1399" s="238"/>
      <c r="D1399" s="533"/>
      <c r="E1399" s="239" t="s">
        <v>483</v>
      </c>
      <c r="F1399" s="238"/>
      <c r="G1399" s="312"/>
      <c r="H1399" s="300"/>
      <c r="I1399" s="285"/>
      <c r="J1399" s="294"/>
    </row>
    <row r="1400" spans="1:10" s="150" customFormat="1">
      <c r="B1400" s="381" t="s">
        <v>523</v>
      </c>
      <c r="C1400" s="382" t="str">
        <f t="shared" ref="C1400:J1401" si="189">C1344</f>
        <v>16.06.076</v>
      </c>
      <c r="D1400" s="383" t="str">
        <f t="shared" si="189"/>
        <v>FDE - 07/2023</v>
      </c>
      <c r="E1400" s="344" t="str">
        <f t="shared" si="189"/>
        <v>FORNECIMENTO E INSTALAÇAO DE PLACAS DE OBRA</v>
      </c>
      <c r="F1400" s="382" t="str">
        <f t="shared" si="189"/>
        <v>M²</v>
      </c>
      <c r="G1400" s="316">
        <f t="shared" si="189"/>
        <v>5</v>
      </c>
      <c r="H1400" s="290">
        <f t="shared" si="189"/>
        <v>407.8057</v>
      </c>
      <c r="I1400" s="287">
        <f t="shared" si="189"/>
        <v>487.3278115</v>
      </c>
      <c r="J1400" s="384">
        <f t="shared" si="189"/>
        <v>2436.6390575</v>
      </c>
    </row>
    <row r="1401" spans="1:10" s="276" customFormat="1" ht="28.8">
      <c r="B1401" s="381" t="s">
        <v>803</v>
      </c>
      <c r="C1401" s="382">
        <f t="shared" si="189"/>
        <v>37524</v>
      </c>
      <c r="D1401" s="383" t="str">
        <f t="shared" si="189"/>
        <v>SINAPI SP - 08/2023</v>
      </c>
      <c r="E1401" s="344" t="str">
        <f t="shared" si="189"/>
        <v>TELA PLASTICA LARANJA, TIPO TAPUME PARA SINALIZACAO, MALHA RETANGULAR, ROLO 1.20 X 50 M (L X C)</v>
      </c>
      <c r="F1401" s="382" t="str">
        <f t="shared" si="189"/>
        <v>M²</v>
      </c>
      <c r="G1401" s="316">
        <f t="shared" si="189"/>
        <v>40</v>
      </c>
      <c r="H1401" s="290">
        <f t="shared" si="189"/>
        <v>2</v>
      </c>
      <c r="I1401" s="287">
        <f t="shared" si="189"/>
        <v>2.39</v>
      </c>
      <c r="J1401" s="384">
        <f t="shared" si="189"/>
        <v>95.600000000000009</v>
      </c>
    </row>
    <row r="1402" spans="1:10" s="263" customFormat="1">
      <c r="B1402" s="579" t="s">
        <v>2342</v>
      </c>
      <c r="C1402" s="580"/>
      <c r="D1402" s="580"/>
      <c r="E1402" s="580"/>
      <c r="F1402" s="580"/>
      <c r="G1402" s="580"/>
      <c r="H1402" s="580"/>
      <c r="I1402" s="581"/>
      <c r="J1402" s="296">
        <f>SUM(J1400:J1401)</f>
        <v>2532.2390574999999</v>
      </c>
    </row>
    <row r="1403" spans="1:10" s="263" customFormat="1">
      <c r="B1403" s="237" t="s">
        <v>2297</v>
      </c>
      <c r="C1403" s="238"/>
      <c r="D1403" s="533"/>
      <c r="E1403" s="239" t="s">
        <v>525</v>
      </c>
      <c r="F1403" s="238"/>
      <c r="G1403" s="312"/>
      <c r="H1403" s="300"/>
      <c r="I1403" s="285"/>
      <c r="J1403" s="294"/>
    </row>
    <row r="1404" spans="1:10" s="276" customFormat="1" ht="28.8">
      <c r="B1404" s="381" t="s">
        <v>2298</v>
      </c>
      <c r="C1404" s="382" t="s">
        <v>711</v>
      </c>
      <c r="D1404" s="383" t="str">
        <f>COMPOSIÇÕES!B10</f>
        <v>SINAPI SP - 08/2023</v>
      </c>
      <c r="E1404" s="487" t="s">
        <v>2404</v>
      </c>
      <c r="F1404" s="382" t="s">
        <v>431</v>
      </c>
      <c r="G1404" s="315">
        <v>12</v>
      </c>
      <c r="H1404" s="290">
        <f>SUM(COMPOSIÇÕES!G11:G13)</f>
        <v>328.17395199999999</v>
      </c>
      <c r="I1404" s="287">
        <f>COMPOSIÇÕES!J10</f>
        <v>392.16787263999993</v>
      </c>
      <c r="J1404" s="384">
        <f>G1404*I1404</f>
        <v>4706.0144716799987</v>
      </c>
    </row>
    <row r="1405" spans="1:10" s="150" customFormat="1" ht="86.4">
      <c r="B1405" s="381" t="s">
        <v>2299</v>
      </c>
      <c r="C1405" s="382" t="s">
        <v>711</v>
      </c>
      <c r="D1405" s="383" t="str">
        <f>COMPOSIÇÕES!B14</f>
        <v>SINAPI SP - 08/2023</v>
      </c>
      <c r="E1405" s="344" t="s">
        <v>754</v>
      </c>
      <c r="F1405" s="382" t="s">
        <v>412</v>
      </c>
      <c r="G1405" s="317">
        <v>18</v>
      </c>
      <c r="H1405" s="290">
        <f>SUM(COMPOSIÇÕES!G15:G18)</f>
        <v>37.264400000000002</v>
      </c>
      <c r="I1405" s="287">
        <f>COMPOSIÇÕES!$J$14</f>
        <v>44.530958000000005</v>
      </c>
      <c r="J1405" s="384">
        <f t="shared" ref="J1405" si="190">J1349</f>
        <v>1202.3358660000001</v>
      </c>
    </row>
    <row r="1406" spans="1:10" s="150" customFormat="1" ht="86.4">
      <c r="B1406" s="381" t="s">
        <v>2300</v>
      </c>
      <c r="C1406" s="382" t="s">
        <v>711</v>
      </c>
      <c r="D1406" s="383" t="str">
        <f>COMPOSIÇÕES!B19</f>
        <v>SINAPI SP - 08/2023</v>
      </c>
      <c r="E1406" s="344" t="s">
        <v>755</v>
      </c>
      <c r="F1406" s="382" t="s">
        <v>412</v>
      </c>
      <c r="G1406" s="317">
        <v>18</v>
      </c>
      <c r="H1406" s="290">
        <f>SUM(COMPOSIÇÕES!G20:G23)</f>
        <v>69.234999999999985</v>
      </c>
      <c r="I1406" s="287">
        <f>COMPOSIÇÕES!$J$19</f>
        <v>82.735824999999991</v>
      </c>
      <c r="J1406" s="384">
        <f t="shared" ref="J1406:J1417" si="191">G1406*I1406</f>
        <v>1489.2448499999998</v>
      </c>
    </row>
    <row r="1407" spans="1:10" s="150" customFormat="1" ht="86.4">
      <c r="B1407" s="381" t="s">
        <v>2301</v>
      </c>
      <c r="C1407" s="382" t="s">
        <v>711</v>
      </c>
      <c r="D1407" s="383" t="str">
        <f>COMPOSIÇÕES!B24</f>
        <v>SINAPI SP - 08/2023</v>
      </c>
      <c r="E1407" s="344" t="s">
        <v>747</v>
      </c>
      <c r="F1407" s="382" t="s">
        <v>412</v>
      </c>
      <c r="G1407" s="317">
        <v>55</v>
      </c>
      <c r="H1407" s="290">
        <f>SUM(COMPOSIÇÕES!G25:G28)</f>
        <v>53.322000000000003</v>
      </c>
      <c r="I1407" s="287">
        <f>COMPOSIÇÕES!$J$24</f>
        <v>63.719789999999996</v>
      </c>
      <c r="J1407" s="384">
        <f t="shared" si="191"/>
        <v>3504.5884499999997</v>
      </c>
    </row>
    <row r="1408" spans="1:10" s="393" customFormat="1" ht="86.4">
      <c r="A1408" s="150"/>
      <c r="B1408" s="381" t="s">
        <v>2302</v>
      </c>
      <c r="C1408" s="394" t="s">
        <v>711</v>
      </c>
      <c r="D1408" s="389" t="str">
        <f>COMPOSIÇÕES!B29</f>
        <v xml:space="preserve">SINAPI SP - 08/2023 </v>
      </c>
      <c r="E1408" s="395" t="s">
        <v>748</v>
      </c>
      <c r="F1408" s="394" t="s">
        <v>412</v>
      </c>
      <c r="G1408" s="315">
        <v>55</v>
      </c>
      <c r="H1408" s="392">
        <f>SUM(COMPOSIÇÕES!G30:G33)</f>
        <v>85.438000000000002</v>
      </c>
      <c r="I1408" s="396">
        <f>COMPOSIÇÕES!$J$29</f>
        <v>102.09840999999999</v>
      </c>
      <c r="J1408" s="397">
        <f t="shared" si="191"/>
        <v>5615.4125499999991</v>
      </c>
    </row>
    <row r="1409" spans="1:10" s="393" customFormat="1" ht="28.8">
      <c r="A1409" s="150"/>
      <c r="B1409" s="381" t="s">
        <v>2303</v>
      </c>
      <c r="C1409" s="394" t="str">
        <f t="shared" ref="C1409:I1409" si="192">C1353</f>
        <v>22.02.030</v>
      </c>
      <c r="D1409" s="389" t="str">
        <f t="shared" si="192"/>
        <v>CDHU - BOLETIM 191</v>
      </c>
      <c r="E1409" s="395" t="str">
        <f t="shared" si="192"/>
        <v>Forro em painéis de gesso acartonado, espessura de 12,5mm, fixo</v>
      </c>
      <c r="F1409" s="394" t="str">
        <f t="shared" si="192"/>
        <v>M²</v>
      </c>
      <c r="G1409" s="315">
        <f t="shared" si="192"/>
        <v>63.360000000000007</v>
      </c>
      <c r="H1409" s="392">
        <f t="shared" si="192"/>
        <v>99.47</v>
      </c>
      <c r="I1409" s="396">
        <f t="shared" si="192"/>
        <v>118.86664999999999</v>
      </c>
      <c r="J1409" s="397">
        <f t="shared" si="191"/>
        <v>7531.3909440000007</v>
      </c>
    </row>
    <row r="1410" spans="1:10" s="150" customFormat="1" ht="57.6">
      <c r="B1410" s="381" t="s">
        <v>2304</v>
      </c>
      <c r="C1410" s="382" t="s">
        <v>711</v>
      </c>
      <c r="D1410" s="383" t="str">
        <f>COMPOSIÇÕES!B36</f>
        <v xml:space="preserve">SINAPI SP - 08/2023 </v>
      </c>
      <c r="E1410" s="398" t="s">
        <v>756</v>
      </c>
      <c r="F1410" s="382" t="s">
        <v>413</v>
      </c>
      <c r="G1410" s="315">
        <v>250</v>
      </c>
      <c r="H1410" s="287">
        <f>SUM(COMPOSIÇÕES!G37:G39)</f>
        <v>84.94</v>
      </c>
      <c r="I1410" s="287">
        <f>COMPOSIÇÕES!$J$36</f>
        <v>101.5033</v>
      </c>
      <c r="J1410" s="384">
        <f t="shared" si="191"/>
        <v>25375.825000000001</v>
      </c>
    </row>
    <row r="1411" spans="1:10" s="335" customFormat="1" ht="28.8">
      <c r="A1411" s="150"/>
      <c r="B1411" s="381" t="s">
        <v>2305</v>
      </c>
      <c r="C1411" s="383" t="str">
        <f>COMPOSIÇÕES!A44</f>
        <v>61.10.565</v>
      </c>
      <c r="D1411" s="383" t="str">
        <f>COMPOSIÇÕES!B44</f>
        <v>CDHU - BOLETIM 191</v>
      </c>
      <c r="E1411" s="388" t="s">
        <v>1042</v>
      </c>
      <c r="F1411" s="382" t="s">
        <v>431</v>
      </c>
      <c r="G1411" s="315">
        <v>4</v>
      </c>
      <c r="H1411" s="287">
        <f>COMPOSIÇÕES!G45</f>
        <v>248.91654375000002</v>
      </c>
      <c r="I1411" s="287">
        <f>COMPOSIÇÕES!$J$44</f>
        <v>297.45526978125002</v>
      </c>
      <c r="J1411" s="384">
        <f t="shared" si="191"/>
        <v>1189.8210791250001</v>
      </c>
    </row>
    <row r="1412" spans="1:10" s="335" customFormat="1" ht="28.8">
      <c r="A1412" s="150"/>
      <c r="B1412" s="381" t="s">
        <v>2306</v>
      </c>
      <c r="C1412" s="383" t="str">
        <f>COMPOSIÇÕES!A46</f>
        <v>61.10.564</v>
      </c>
      <c r="D1412" s="383" t="str">
        <f>COMPOSIÇÕES!B46</f>
        <v>CDHU - BOLETIM 191</v>
      </c>
      <c r="E1412" s="388" t="s">
        <v>1043</v>
      </c>
      <c r="F1412" s="382" t="s">
        <v>431</v>
      </c>
      <c r="G1412" s="315">
        <v>2</v>
      </c>
      <c r="H1412" s="287">
        <f>COMPOSIÇÕES!G47</f>
        <v>49.947131250000005</v>
      </c>
      <c r="I1412" s="287">
        <f>COMPOSIÇÕES!$J$46</f>
        <v>59.68682184375001</v>
      </c>
      <c r="J1412" s="384">
        <f t="shared" si="191"/>
        <v>119.37364368750002</v>
      </c>
    </row>
    <row r="1413" spans="1:10" s="335" customFormat="1" ht="28.8">
      <c r="A1413" s="150"/>
      <c r="B1413" s="381" t="s">
        <v>2307</v>
      </c>
      <c r="C1413" s="383" t="str">
        <f>COMPOSIÇÕES!A48</f>
        <v>61.10.564</v>
      </c>
      <c r="D1413" s="383" t="str">
        <f>COMPOSIÇÕES!B48</f>
        <v>CDHU - BOLETIM 191</v>
      </c>
      <c r="E1413" s="388" t="s">
        <v>1044</v>
      </c>
      <c r="F1413" s="382" t="s">
        <v>431</v>
      </c>
      <c r="G1413" s="315">
        <v>1</v>
      </c>
      <c r="H1413" s="287">
        <f>COMPOSIÇÕES!G49</f>
        <v>82.875240000000005</v>
      </c>
      <c r="I1413" s="287">
        <f>COMPOSIÇÕES!$J$48</f>
        <v>99.035911800000008</v>
      </c>
      <c r="J1413" s="384">
        <f t="shared" si="191"/>
        <v>99.035911800000008</v>
      </c>
    </row>
    <row r="1414" spans="1:10" s="150" customFormat="1" ht="28.8">
      <c r="B1414" s="381" t="s">
        <v>2308</v>
      </c>
      <c r="C1414" s="383" t="str">
        <f>COMPOSIÇÕES!A122</f>
        <v>61.10.581</v>
      </c>
      <c r="D1414" s="383" t="str">
        <f>COMPOSIÇÕES!B122</f>
        <v>CDHU - BOLETIM 191</v>
      </c>
      <c r="E1414" s="388" t="s">
        <v>809</v>
      </c>
      <c r="F1414" s="382" t="s">
        <v>431</v>
      </c>
      <c r="G1414" s="317">
        <v>1</v>
      </c>
      <c r="H1414" s="287">
        <f>SUM(COMPOSIÇÕES!$G$123:$G$123)</f>
        <v>33.890000000000008</v>
      </c>
      <c r="I1414" s="287">
        <f>COMPOSIÇÕES!$J$122</f>
        <v>40.498550000000009</v>
      </c>
      <c r="J1414" s="384">
        <f t="shared" si="191"/>
        <v>40.498550000000009</v>
      </c>
    </row>
    <row r="1415" spans="1:10" s="150" customFormat="1" ht="28.8">
      <c r="B1415" s="381" t="s">
        <v>2309</v>
      </c>
      <c r="C1415" s="383" t="str">
        <f>COMPOSIÇÕES!A124</f>
        <v>61.10.581</v>
      </c>
      <c r="D1415" s="383" t="str">
        <f>COMPOSIÇÕES!B124</f>
        <v>CDHU - BOLETIM 191</v>
      </c>
      <c r="E1415" s="388" t="s">
        <v>1119</v>
      </c>
      <c r="F1415" s="382" t="s">
        <v>431</v>
      </c>
      <c r="G1415" s="317">
        <v>4</v>
      </c>
      <c r="H1415" s="287">
        <f>SUM(COMPOSIÇÕES!$G$125:$G$125)</f>
        <v>203.34</v>
      </c>
      <c r="I1415" s="287">
        <f>COMPOSIÇÕES!$J$124</f>
        <v>242.9913</v>
      </c>
      <c r="J1415" s="384">
        <f t="shared" si="191"/>
        <v>971.96519999999998</v>
      </c>
    </row>
    <row r="1416" spans="1:10" s="150" customFormat="1" ht="28.8">
      <c r="B1416" s="381" t="s">
        <v>2310</v>
      </c>
      <c r="C1416" s="383" t="str">
        <f>COMPOSIÇÕES!A56</f>
        <v>61.10.581</v>
      </c>
      <c r="D1416" s="383" t="str">
        <f>COMPOSIÇÕES!B56</f>
        <v>CDHU - BOLETIM 191</v>
      </c>
      <c r="E1416" s="388" t="s">
        <v>1117</v>
      </c>
      <c r="F1416" s="382" t="s">
        <v>431</v>
      </c>
      <c r="G1416" s="315">
        <v>2</v>
      </c>
      <c r="H1416" s="287">
        <f>COMPOSIÇÕES!G57</f>
        <v>16.945000000000004</v>
      </c>
      <c r="I1416" s="287">
        <f>COMPOSIÇÕES!$J$56</f>
        <v>20.249275000000004</v>
      </c>
      <c r="J1416" s="384">
        <f t="shared" si="191"/>
        <v>40.498550000000009</v>
      </c>
    </row>
    <row r="1417" spans="1:10" s="150" customFormat="1" ht="28.8">
      <c r="A1417" s="271"/>
      <c r="B1417" s="381" t="s">
        <v>2311</v>
      </c>
      <c r="C1417" s="382" t="s">
        <v>711</v>
      </c>
      <c r="D1417" s="383" t="str">
        <f>COMPOSIÇÕES!B58</f>
        <v xml:space="preserve">SINAPI SP - 08/2023 </v>
      </c>
      <c r="E1417" s="388" t="s">
        <v>758</v>
      </c>
      <c r="F1417" s="382" t="s">
        <v>412</v>
      </c>
      <c r="G1417" s="315">
        <v>110</v>
      </c>
      <c r="H1417" s="287">
        <f>SUM(COMPOSIÇÕES!G59:G61)</f>
        <v>31.499000000000002</v>
      </c>
      <c r="I1417" s="287">
        <f>COMPOSIÇÕES!$J$58</f>
        <v>37.641304999999996</v>
      </c>
      <c r="J1417" s="384">
        <f t="shared" si="191"/>
        <v>4140.5435499999994</v>
      </c>
    </row>
    <row r="1418" spans="1:10" s="150" customFormat="1" ht="28.8">
      <c r="A1418" s="271"/>
      <c r="B1418" s="381" t="s">
        <v>2312</v>
      </c>
      <c r="C1418" s="382" t="s">
        <v>711</v>
      </c>
      <c r="D1418" s="383" t="str">
        <f>COMPOSIÇÕES!B64</f>
        <v>SINAPI SP - 08/2023</v>
      </c>
      <c r="E1418" s="388" t="s">
        <v>697</v>
      </c>
      <c r="F1418" s="382" t="s">
        <v>431</v>
      </c>
      <c r="G1418" s="315">
        <v>12</v>
      </c>
      <c r="H1418" s="287">
        <f>SUM(COMPOSIÇÕES!$G$65:$G$67)</f>
        <v>92.32</v>
      </c>
      <c r="I1418" s="287">
        <f>COMPOSIÇÕES!$J$64</f>
        <v>110.32240000000002</v>
      </c>
      <c r="J1418" s="384">
        <f>I1418*G1418</f>
        <v>1323.8688000000002</v>
      </c>
    </row>
    <row r="1419" spans="1:10" s="150" customFormat="1" ht="28.8">
      <c r="A1419" s="271"/>
      <c r="B1419" s="381" t="s">
        <v>2313</v>
      </c>
      <c r="C1419" s="382" t="s">
        <v>711</v>
      </c>
      <c r="D1419" s="383" t="str">
        <f>COMPOSIÇÕES!B68</f>
        <v xml:space="preserve">SINAPI SP - 08/2023 </v>
      </c>
      <c r="E1419" s="388" t="s">
        <v>762</v>
      </c>
      <c r="F1419" s="382" t="s">
        <v>415</v>
      </c>
      <c r="G1419" s="315">
        <v>8</v>
      </c>
      <c r="H1419" s="287">
        <f>SUM(COMPOSIÇÕES!$G$69:$G$70)</f>
        <v>58.91</v>
      </c>
      <c r="I1419" s="287">
        <f>COMPOSIÇÕES!$J$68</f>
        <v>70.397449999999992</v>
      </c>
      <c r="J1419" s="384">
        <f>I1419*G1419</f>
        <v>563.17959999999994</v>
      </c>
    </row>
    <row r="1420" spans="1:10" s="150" customFormat="1" ht="28.8">
      <c r="A1420" s="271"/>
      <c r="B1420" s="381" t="s">
        <v>2314</v>
      </c>
      <c r="C1420" s="399" t="s">
        <v>763</v>
      </c>
      <c r="D1420" s="273" t="str">
        <f>COMPOSIÇÕES!B71</f>
        <v xml:space="preserve">SINAPI SP - 08/2023 </v>
      </c>
      <c r="E1420" s="400" t="s">
        <v>761</v>
      </c>
      <c r="F1420" s="273" t="s">
        <v>541</v>
      </c>
      <c r="G1420" s="316">
        <v>2</v>
      </c>
      <c r="H1420" s="287">
        <f>SUM(COMPOSIÇÕES!$G$72:$G$72)</f>
        <v>28.8</v>
      </c>
      <c r="I1420" s="287">
        <f>COMPOSIÇÕES!$J$71</f>
        <v>34.416000000000004</v>
      </c>
      <c r="J1420" s="384">
        <f>I1420*G1420</f>
        <v>68.832000000000008</v>
      </c>
    </row>
    <row r="1421" spans="1:10" s="150" customFormat="1">
      <c r="A1421" s="271"/>
      <c r="B1421" s="381" t="s">
        <v>2424</v>
      </c>
      <c r="C1421" s="399" t="s">
        <v>759</v>
      </c>
      <c r="D1421" s="273" t="str">
        <f>COMPOSIÇÕES!B73</f>
        <v>FDE - 07/2023</v>
      </c>
      <c r="E1421" s="400" t="s">
        <v>760</v>
      </c>
      <c r="F1421" s="273" t="s">
        <v>701</v>
      </c>
      <c r="G1421" s="316">
        <v>1</v>
      </c>
      <c r="H1421" s="530">
        <f>VLOOKUP(C1421,COMPOSIÇÕES!A:J,6,FALSE)</f>
        <v>38.485355648535567</v>
      </c>
      <c r="I1421" s="287">
        <f>COMPOSIÇÕES!$J$73</f>
        <v>45.99</v>
      </c>
      <c r="J1421" s="384">
        <f>I1421*G1421</f>
        <v>45.99</v>
      </c>
    </row>
    <row r="1422" spans="1:10" s="150" customFormat="1">
      <c r="A1422" s="271"/>
      <c r="B1422" s="381" t="s">
        <v>2457</v>
      </c>
      <c r="C1422" s="399" t="s">
        <v>764</v>
      </c>
      <c r="D1422" s="273" t="str">
        <f>COMPOSIÇÕES!B74</f>
        <v>FDE - 07/2023</v>
      </c>
      <c r="E1422" s="400" t="s">
        <v>765</v>
      </c>
      <c r="F1422" s="273" t="s">
        <v>541</v>
      </c>
      <c r="G1422" s="316">
        <v>3</v>
      </c>
      <c r="H1422" s="530">
        <f>VLOOKUP(C1422,COMPOSIÇÕES!A:J,6,FALSE)</f>
        <v>210.81171548117152</v>
      </c>
      <c r="I1422" s="287">
        <f>COMPOSIÇÕES!$J$74</f>
        <v>251.91999999999996</v>
      </c>
      <c r="J1422" s="384">
        <f>I1422*G1422</f>
        <v>755.75999999999988</v>
      </c>
    </row>
    <row r="1423" spans="1:10" s="263" customFormat="1">
      <c r="B1423" s="579" t="s">
        <v>2343</v>
      </c>
      <c r="C1423" s="580"/>
      <c r="D1423" s="580"/>
      <c r="E1423" s="580"/>
      <c r="F1423" s="580"/>
      <c r="G1423" s="580"/>
      <c r="H1423" s="580"/>
      <c r="I1423" s="581"/>
      <c r="J1423" s="296">
        <f>SUM(J1404:J1422)</f>
        <v>58784.179016292495</v>
      </c>
    </row>
    <row r="1424" spans="1:10" s="263" customFormat="1">
      <c r="B1424" s="237" t="s">
        <v>2315</v>
      </c>
      <c r="C1424" s="238"/>
      <c r="D1424" s="533"/>
      <c r="E1424" s="239" t="s">
        <v>526</v>
      </c>
      <c r="F1424" s="238"/>
      <c r="G1424" s="312"/>
      <c r="H1424" s="300"/>
      <c r="I1424" s="285"/>
      <c r="J1424" s="294"/>
    </row>
    <row r="1425" spans="1:10" s="276" customFormat="1">
      <c r="A1425" s="263"/>
      <c r="B1425" s="381" t="s">
        <v>2316</v>
      </c>
      <c r="C1425" s="382" t="s">
        <v>711</v>
      </c>
      <c r="D1425" s="383" t="str">
        <f>COMPOSIÇÕES!B75</f>
        <v>FDE - 07/2023</v>
      </c>
      <c r="E1425" s="344" t="s">
        <v>745</v>
      </c>
      <c r="F1425" s="382" t="s">
        <v>431</v>
      </c>
      <c r="G1425" s="316">
        <v>59</v>
      </c>
      <c r="H1425" s="290">
        <f>SUM(COMPOSIÇÕES!G76:G78)</f>
        <v>34.013252032520327</v>
      </c>
      <c r="I1425" s="287">
        <f>COMPOSIÇÕES!$J$75</f>
        <v>40.645836178861792</v>
      </c>
      <c r="J1425" s="384">
        <f t="shared" ref="J1425:J1450" si="193">G1425*I1425</f>
        <v>2398.1043345528456</v>
      </c>
    </row>
    <row r="1426" spans="1:10" s="276" customFormat="1" ht="43.2">
      <c r="A1426" s="263"/>
      <c r="B1426" s="381" t="s">
        <v>2317</v>
      </c>
      <c r="C1426" s="382" t="s">
        <v>711</v>
      </c>
      <c r="D1426" s="383" t="str">
        <f>COMPOSIÇÕES!B128</f>
        <v>FDE - 07/2023 + SINAPI SP - 08/2023</v>
      </c>
      <c r="E1426" s="344" t="s">
        <v>812</v>
      </c>
      <c r="F1426" s="382" t="s">
        <v>431</v>
      </c>
      <c r="G1426" s="316">
        <v>3</v>
      </c>
      <c r="H1426" s="290">
        <f>SUM(COMPOSIÇÕES!G129:G131)</f>
        <v>23.056000000000001</v>
      </c>
      <c r="I1426" s="287">
        <f>COMPOSIÇÕES!$J$128</f>
        <v>27.551920000000003</v>
      </c>
      <c r="J1426" s="384">
        <f t="shared" si="193"/>
        <v>82.655760000000015</v>
      </c>
    </row>
    <row r="1427" spans="1:10" s="276" customFormat="1">
      <c r="A1427" s="263"/>
      <c r="B1427" s="381" t="s">
        <v>2318</v>
      </c>
      <c r="C1427" s="382" t="s">
        <v>739</v>
      </c>
      <c r="D1427" s="383" t="str">
        <f>COMPOSIÇÕES!B83</f>
        <v>FDE - 07/2023</v>
      </c>
      <c r="E1427" s="344" t="s">
        <v>766</v>
      </c>
      <c r="F1427" s="382" t="s">
        <v>431</v>
      </c>
      <c r="G1427" s="316">
        <v>17</v>
      </c>
      <c r="H1427" s="530">
        <f>VLOOKUP(C1427,COMPOSIÇÕES!A:J,6,FALSE)</f>
        <v>32.35146443514644</v>
      </c>
      <c r="I1427" s="287">
        <f>COMPOSIÇÕES!$J$83</f>
        <v>38.659999999999997</v>
      </c>
      <c r="J1427" s="384">
        <f t="shared" si="193"/>
        <v>657.21999999999991</v>
      </c>
    </row>
    <row r="1428" spans="1:10" s="276" customFormat="1">
      <c r="A1428" s="263"/>
      <c r="B1428" s="381" t="s">
        <v>2319</v>
      </c>
      <c r="C1428" s="382" t="s">
        <v>739</v>
      </c>
      <c r="D1428" s="383" t="str">
        <f t="shared" ref="D1428:D1429" si="194">$D$1427</f>
        <v>FDE - 07/2023</v>
      </c>
      <c r="E1428" s="344" t="s">
        <v>767</v>
      </c>
      <c r="F1428" s="382" t="s">
        <v>431</v>
      </c>
      <c r="G1428" s="316">
        <v>6</v>
      </c>
      <c r="H1428" s="530">
        <f>VLOOKUP(C1428,COMPOSIÇÕES!A:J,6,FALSE)</f>
        <v>32.35146443514644</v>
      </c>
      <c r="I1428" s="287">
        <f>COMPOSIÇÕES!$J$83</f>
        <v>38.659999999999997</v>
      </c>
      <c r="J1428" s="384">
        <f t="shared" si="193"/>
        <v>231.95999999999998</v>
      </c>
    </row>
    <row r="1429" spans="1:10" s="276" customFormat="1">
      <c r="A1429" s="263"/>
      <c r="B1429" s="381" t="s">
        <v>2320</v>
      </c>
      <c r="C1429" s="382" t="s">
        <v>739</v>
      </c>
      <c r="D1429" s="383" t="str">
        <f t="shared" si="194"/>
        <v>FDE - 07/2023</v>
      </c>
      <c r="E1429" s="344" t="s">
        <v>768</v>
      </c>
      <c r="F1429" s="382" t="s">
        <v>431</v>
      </c>
      <c r="G1429" s="316">
        <v>11</v>
      </c>
      <c r="H1429" s="530">
        <f>VLOOKUP(C1429,COMPOSIÇÕES!A:J,6,FALSE)</f>
        <v>32.35146443514644</v>
      </c>
      <c r="I1429" s="287">
        <f>COMPOSIÇÕES!$J$83</f>
        <v>38.659999999999997</v>
      </c>
      <c r="J1429" s="384">
        <f t="shared" si="193"/>
        <v>425.26</v>
      </c>
    </row>
    <row r="1430" spans="1:10" s="276" customFormat="1">
      <c r="A1430" s="263"/>
      <c r="B1430" s="381" t="s">
        <v>2321</v>
      </c>
      <c r="C1430" s="382" t="s">
        <v>819</v>
      </c>
      <c r="D1430" s="383" t="str">
        <f>COMPOSIÇÕES!B140</f>
        <v>FDE - 07/2023</v>
      </c>
      <c r="E1430" s="344" t="s">
        <v>820</v>
      </c>
      <c r="F1430" s="382" t="s">
        <v>431</v>
      </c>
      <c r="G1430" s="316">
        <v>2</v>
      </c>
      <c r="H1430" s="530">
        <f>COMPOSIÇÕES!F140</f>
        <v>68.63</v>
      </c>
      <c r="I1430" s="287">
        <f>COMPOSIÇÕES!$J$140</f>
        <v>82.01285</v>
      </c>
      <c r="J1430" s="384">
        <f t="shared" si="193"/>
        <v>164.0257</v>
      </c>
    </row>
    <row r="1431" spans="1:10" s="276" customFormat="1" ht="43.2">
      <c r="A1431" s="263"/>
      <c r="B1431" s="381" t="s">
        <v>2322</v>
      </c>
      <c r="C1431" s="382" t="s">
        <v>711</v>
      </c>
      <c r="D1431" s="383" t="str">
        <f>COMPOSIÇÕES!B233</f>
        <v>SINAPI SP - 08/2023</v>
      </c>
      <c r="E1431" s="344" t="s">
        <v>831</v>
      </c>
      <c r="F1431" s="382" t="s">
        <v>431</v>
      </c>
      <c r="G1431" s="316">
        <v>2</v>
      </c>
      <c r="H1431" s="290">
        <f>SUM(COMPOSIÇÕES!G234:G236)</f>
        <v>42.53</v>
      </c>
      <c r="I1431" s="287">
        <f>COMPOSIÇÕES!$J$233</f>
        <v>50.823350000000005</v>
      </c>
      <c r="J1431" s="384">
        <f t="shared" si="193"/>
        <v>101.64670000000001</v>
      </c>
    </row>
    <row r="1432" spans="1:10" s="276" customFormat="1">
      <c r="A1432" s="263"/>
      <c r="B1432" s="381" t="s">
        <v>2323</v>
      </c>
      <c r="C1432" s="382" t="s">
        <v>735</v>
      </c>
      <c r="D1432" s="383" t="str">
        <f>COMPOSIÇÕES!B89</f>
        <v>FDE - 07/2023</v>
      </c>
      <c r="E1432" s="344" t="s">
        <v>736</v>
      </c>
      <c r="F1432" s="382" t="s">
        <v>431</v>
      </c>
      <c r="G1432" s="316">
        <v>51</v>
      </c>
      <c r="H1432" s="530">
        <f>VLOOKUP(C1432,COMPOSIÇÕES!A:J,6,FALSE)</f>
        <v>7.8158995815899575</v>
      </c>
      <c r="I1432" s="287">
        <f>COMPOSIÇÕES!$J$89</f>
        <v>9.34</v>
      </c>
      <c r="J1432" s="384">
        <f t="shared" si="193"/>
        <v>476.34</v>
      </c>
    </row>
    <row r="1433" spans="1:10" s="276" customFormat="1" ht="28.8">
      <c r="A1433" s="263"/>
      <c r="B1433" s="381" t="s">
        <v>2324</v>
      </c>
      <c r="C1433" s="382" t="s">
        <v>1142</v>
      </c>
      <c r="D1433" s="383" t="str">
        <f>COMPOSIÇÕES!B91</f>
        <v>CDHU - BOLETIM 191</v>
      </c>
      <c r="E1433" s="344" t="str">
        <f>COMPOSIÇÕES!C91</f>
        <v>Eletrocalha perfurada galvanizada a fogo, 100 x 50 mm, com acessórios</v>
      </c>
      <c r="F1433" s="382" t="s">
        <v>412</v>
      </c>
      <c r="G1433" s="316">
        <f>11*3</f>
        <v>33</v>
      </c>
      <c r="H1433" s="530">
        <f>VLOOKUP(C1433,COMPOSIÇÕES!A:J,6,FALSE)</f>
        <v>98.38</v>
      </c>
      <c r="I1433" s="287">
        <f>COMPOSIÇÕES!$J$91</f>
        <v>117.5641</v>
      </c>
      <c r="J1433" s="384">
        <f t="shared" si="193"/>
        <v>3879.6152999999999</v>
      </c>
    </row>
    <row r="1434" spans="1:10" s="276" customFormat="1" ht="28.8">
      <c r="A1434" s="263"/>
      <c r="B1434" s="381" t="s">
        <v>2325</v>
      </c>
      <c r="C1434" s="382" t="s">
        <v>1143</v>
      </c>
      <c r="D1434" s="383" t="str">
        <f>COMPOSIÇÕES!B92</f>
        <v>CDHU - BOLETIM 191</v>
      </c>
      <c r="E1434" s="344" t="str">
        <f>COMPOSIÇÕES!C92</f>
        <v>Eletroduto galvanizado a quente conforme NBR5598 ‐ 3/4´ com acessórios</v>
      </c>
      <c r="F1434" s="382" t="s">
        <v>412</v>
      </c>
      <c r="G1434" s="316">
        <f>32*3</f>
        <v>96</v>
      </c>
      <c r="H1434" s="530">
        <f>VLOOKUP(C1434,COMPOSIÇÕES!A:J,6,FALSE)</f>
        <v>60.65</v>
      </c>
      <c r="I1434" s="287">
        <f>COMPOSIÇÕES!$J$92</f>
        <v>72.476749999999996</v>
      </c>
      <c r="J1434" s="384">
        <f t="shared" si="193"/>
        <v>6957.768</v>
      </c>
    </row>
    <row r="1435" spans="1:10" s="276" customFormat="1" ht="28.8">
      <c r="A1435" s="263"/>
      <c r="B1435" s="381" t="s">
        <v>2326</v>
      </c>
      <c r="C1435" s="382" t="s">
        <v>1408</v>
      </c>
      <c r="D1435" s="383" t="str">
        <f>COMPOSIÇÕES!B142</f>
        <v>CDHU - BOLETIM 191</v>
      </c>
      <c r="E1435" s="344" t="str">
        <f>COMPOSIÇÕES!C142</f>
        <v>Eletroduto galvanizado a quente conforme NBR5598 ‐ 1 1/2´ com
acessórios</v>
      </c>
      <c r="F1435" s="382" t="s">
        <v>412</v>
      </c>
      <c r="G1435" s="316">
        <f>3*3</f>
        <v>9</v>
      </c>
      <c r="H1435" s="530">
        <f>VLOOKUP(C1435,COMPOSIÇÕES!A:J,6,FALSE)</f>
        <v>111.35</v>
      </c>
      <c r="I1435" s="287">
        <f>COMPOSIÇÕES!$J$142</f>
        <v>133.06324999999998</v>
      </c>
      <c r="J1435" s="384">
        <f t="shared" si="193"/>
        <v>1197.5692499999998</v>
      </c>
    </row>
    <row r="1436" spans="1:10" s="276" customFormat="1" ht="28.8">
      <c r="A1436" s="263"/>
      <c r="B1436" s="381" t="s">
        <v>2327</v>
      </c>
      <c r="C1436" s="382" t="s">
        <v>1507</v>
      </c>
      <c r="D1436" s="383" t="str">
        <f>COMPOSIÇÕES!B191</f>
        <v>CDHU - BOLETIM 191</v>
      </c>
      <c r="E1436" s="344" t="str">
        <f>COMPOSIÇÕES!C191</f>
        <v>Eletroduto galvanizado a quente conforme NBR5598 ‐ 2´ com acessórios</v>
      </c>
      <c r="F1436" s="382" t="s">
        <v>412</v>
      </c>
      <c r="G1436" s="316">
        <f>3*3</f>
        <v>9</v>
      </c>
      <c r="H1436" s="530">
        <f>VLOOKUP(C1436,COMPOSIÇÕES!A:J,6,FALSE)</f>
        <v>128.12</v>
      </c>
      <c r="I1436" s="287">
        <f>COMPOSIÇÕES!$J$191</f>
        <v>153.10340000000002</v>
      </c>
      <c r="J1436" s="384">
        <f t="shared" si="193"/>
        <v>1377.9306000000001</v>
      </c>
    </row>
    <row r="1437" spans="1:10" s="276" customFormat="1">
      <c r="A1437" s="263"/>
      <c r="B1437" s="381" t="s">
        <v>2328</v>
      </c>
      <c r="C1437" s="382" t="s">
        <v>729</v>
      </c>
      <c r="D1437" s="383" t="str">
        <f>COMPOSIÇÕES!B95</f>
        <v>FDE - 07/2023</v>
      </c>
      <c r="E1437" s="344" t="s">
        <v>730</v>
      </c>
      <c r="F1437" s="382" t="s">
        <v>412</v>
      </c>
      <c r="G1437" s="316">
        <v>1</v>
      </c>
      <c r="H1437" s="530">
        <f>VLOOKUP(C1437,COMPOSIÇÕES!A:J,6,FALSE)</f>
        <v>50.77</v>
      </c>
      <c r="I1437" s="287">
        <f>COMPOSIÇÕES!$J$95</f>
        <v>60.670150000000007</v>
      </c>
      <c r="J1437" s="384">
        <f t="shared" si="193"/>
        <v>60.670150000000007</v>
      </c>
    </row>
    <row r="1438" spans="1:10" s="276" customFormat="1" ht="28.8">
      <c r="A1438" s="263"/>
      <c r="B1438" s="381" t="s">
        <v>2329</v>
      </c>
      <c r="C1438" s="382">
        <v>91927</v>
      </c>
      <c r="D1438" s="383" t="str">
        <f>COMPOSIÇÕES!B96</f>
        <v>SINAPI SP - 08/2023</v>
      </c>
      <c r="E1438" s="344" t="s">
        <v>770</v>
      </c>
      <c r="F1438" s="382" t="s">
        <v>412</v>
      </c>
      <c r="G1438" s="316">
        <v>350</v>
      </c>
      <c r="H1438" s="530">
        <f>VLOOKUP(C1438,COMPOSIÇÕES!A:J,6,FALSE)</f>
        <v>4.8</v>
      </c>
      <c r="I1438" s="287">
        <f>COMPOSIÇÕES!$J$96</f>
        <v>5.7359999999999998</v>
      </c>
      <c r="J1438" s="384">
        <f t="shared" si="193"/>
        <v>2007.6</v>
      </c>
    </row>
    <row r="1439" spans="1:10" s="276" customFormat="1" ht="28.8">
      <c r="A1439" s="263"/>
      <c r="B1439" s="381" t="s">
        <v>2330</v>
      </c>
      <c r="C1439" s="382">
        <v>91927</v>
      </c>
      <c r="D1439" s="383" t="str">
        <f t="shared" ref="D1439:D1441" si="195">$D$1438</f>
        <v>SINAPI SP - 08/2023</v>
      </c>
      <c r="E1439" s="344" t="s">
        <v>771</v>
      </c>
      <c r="F1439" s="382" t="s">
        <v>412</v>
      </c>
      <c r="G1439" s="316">
        <v>325</v>
      </c>
      <c r="H1439" s="530">
        <f>VLOOKUP(C1439,COMPOSIÇÕES!A:J,6,FALSE)</f>
        <v>4.8</v>
      </c>
      <c r="I1439" s="287">
        <f>COMPOSIÇÕES!$J$96</f>
        <v>5.7359999999999998</v>
      </c>
      <c r="J1439" s="384">
        <f t="shared" si="193"/>
        <v>1864.1999999999998</v>
      </c>
    </row>
    <row r="1440" spans="1:10" s="276" customFormat="1" ht="28.8">
      <c r="A1440" s="263"/>
      <c r="B1440" s="381" t="s">
        <v>2331</v>
      </c>
      <c r="C1440" s="382">
        <v>91927</v>
      </c>
      <c r="D1440" s="383" t="str">
        <f t="shared" si="195"/>
        <v>SINAPI SP - 08/2023</v>
      </c>
      <c r="E1440" s="344" t="s">
        <v>772</v>
      </c>
      <c r="F1440" s="382" t="s">
        <v>412</v>
      </c>
      <c r="G1440" s="316">
        <v>325</v>
      </c>
      <c r="H1440" s="530">
        <f>VLOOKUP(C1440,COMPOSIÇÕES!A:J,6,FALSE)</f>
        <v>4.8</v>
      </c>
      <c r="I1440" s="287">
        <f>COMPOSIÇÕES!$J$96</f>
        <v>5.7359999999999998</v>
      </c>
      <c r="J1440" s="384">
        <f t="shared" si="193"/>
        <v>1864.1999999999998</v>
      </c>
    </row>
    <row r="1441" spans="1:10" s="276" customFormat="1" ht="28.8">
      <c r="A1441" s="263"/>
      <c r="B1441" s="381" t="s">
        <v>2332</v>
      </c>
      <c r="C1441" s="382">
        <v>91927</v>
      </c>
      <c r="D1441" s="383" t="str">
        <f t="shared" si="195"/>
        <v>SINAPI SP - 08/2023</v>
      </c>
      <c r="E1441" s="344" t="s">
        <v>773</v>
      </c>
      <c r="F1441" s="382" t="s">
        <v>412</v>
      </c>
      <c r="G1441" s="316">
        <v>200</v>
      </c>
      <c r="H1441" s="530">
        <f>VLOOKUP(C1441,COMPOSIÇÕES!A:J,6,FALSE)</f>
        <v>4.8</v>
      </c>
      <c r="I1441" s="287">
        <f>COMPOSIÇÕES!$J$96</f>
        <v>5.7359999999999998</v>
      </c>
      <c r="J1441" s="384">
        <f t="shared" si="193"/>
        <v>1147.2</v>
      </c>
    </row>
    <row r="1442" spans="1:10" s="276" customFormat="1" ht="28.8">
      <c r="A1442" s="263"/>
      <c r="B1442" s="381" t="s">
        <v>2333</v>
      </c>
      <c r="C1442" s="382">
        <v>92984</v>
      </c>
      <c r="D1442" s="383" t="str">
        <f>COMPOSIÇÕES!B98</f>
        <v>SINAPI SP - 08/2023</v>
      </c>
      <c r="E1442" s="344" t="s">
        <v>777</v>
      </c>
      <c r="F1442" s="382" t="s">
        <v>412</v>
      </c>
      <c r="G1442" s="316">
        <v>10</v>
      </c>
      <c r="H1442" s="530">
        <f>VLOOKUP(C1442,COMPOSIÇÕES!A:J,6,FALSE)</f>
        <v>23.65</v>
      </c>
      <c r="I1442" s="287">
        <f>COMPOSIÇÕES!$J$98</f>
        <v>28.261749999999999</v>
      </c>
      <c r="J1442" s="384">
        <f t="shared" si="193"/>
        <v>282.61750000000001</v>
      </c>
    </row>
    <row r="1443" spans="1:10" s="276" customFormat="1" ht="28.8">
      <c r="A1443" s="263"/>
      <c r="B1443" s="381" t="s">
        <v>2334</v>
      </c>
      <c r="C1443" s="382">
        <v>92988</v>
      </c>
      <c r="D1443" s="383" t="str">
        <f>COMPOSIÇÕES!B99</f>
        <v>SINAPI SP - 08/2023</v>
      </c>
      <c r="E1443" s="344" t="s">
        <v>778</v>
      </c>
      <c r="F1443" s="382" t="s">
        <v>412</v>
      </c>
      <c r="G1443" s="316">
        <v>10</v>
      </c>
      <c r="H1443" s="530">
        <f>VLOOKUP(C1443,COMPOSIÇÕES!A:J,6,FALSE)</f>
        <v>46.05</v>
      </c>
      <c r="I1443" s="287">
        <f>COMPOSIÇÕES!$J$99</f>
        <v>55.029749999999993</v>
      </c>
      <c r="J1443" s="384">
        <f t="shared" si="193"/>
        <v>550.2974999999999</v>
      </c>
    </row>
    <row r="1444" spans="1:10" s="276" customFormat="1" ht="28.8">
      <c r="A1444" s="263"/>
      <c r="B1444" s="381" t="s">
        <v>2335</v>
      </c>
      <c r="C1444" s="382">
        <v>92988</v>
      </c>
      <c r="D1444" s="383" t="str">
        <f t="shared" ref="D1444:D1446" si="196">$D$1443</f>
        <v>SINAPI SP - 08/2023</v>
      </c>
      <c r="E1444" s="344" t="s">
        <v>779</v>
      </c>
      <c r="F1444" s="382" t="s">
        <v>412</v>
      </c>
      <c r="G1444" s="316">
        <v>10</v>
      </c>
      <c r="H1444" s="530">
        <f>VLOOKUP(C1444,COMPOSIÇÕES!A:J,6,FALSE)</f>
        <v>46.05</v>
      </c>
      <c r="I1444" s="287">
        <f>COMPOSIÇÕES!$J$99</f>
        <v>55.029749999999993</v>
      </c>
      <c r="J1444" s="384">
        <f t="shared" si="193"/>
        <v>550.2974999999999</v>
      </c>
    </row>
    <row r="1445" spans="1:10" s="276" customFormat="1" ht="28.8">
      <c r="A1445" s="263"/>
      <c r="B1445" s="381" t="s">
        <v>2336</v>
      </c>
      <c r="C1445" s="382">
        <v>92988</v>
      </c>
      <c r="D1445" s="383" t="str">
        <f t="shared" si="196"/>
        <v>SINAPI SP - 08/2023</v>
      </c>
      <c r="E1445" s="344" t="s">
        <v>780</v>
      </c>
      <c r="F1445" s="382" t="s">
        <v>412</v>
      </c>
      <c r="G1445" s="316">
        <v>10</v>
      </c>
      <c r="H1445" s="530">
        <f>VLOOKUP(C1445,COMPOSIÇÕES!A:J,6,FALSE)</f>
        <v>46.05</v>
      </c>
      <c r="I1445" s="287">
        <f>COMPOSIÇÕES!$J$99</f>
        <v>55.029749999999993</v>
      </c>
      <c r="J1445" s="384">
        <f t="shared" si="193"/>
        <v>550.2974999999999</v>
      </c>
    </row>
    <row r="1446" spans="1:10" s="276" customFormat="1" ht="28.8">
      <c r="A1446" s="263"/>
      <c r="B1446" s="381" t="s">
        <v>2337</v>
      </c>
      <c r="C1446" s="382">
        <v>92988</v>
      </c>
      <c r="D1446" s="383" t="str">
        <f t="shared" si="196"/>
        <v>SINAPI SP - 08/2023</v>
      </c>
      <c r="E1446" s="344" t="s">
        <v>847</v>
      </c>
      <c r="F1446" s="382" t="s">
        <v>412</v>
      </c>
      <c r="G1446" s="316">
        <v>10</v>
      </c>
      <c r="H1446" s="530">
        <f>VLOOKUP(C1446,COMPOSIÇÕES!A:J,6,FALSE)</f>
        <v>46.05</v>
      </c>
      <c r="I1446" s="287">
        <f>COMPOSIÇÕES!$J$99</f>
        <v>55.029749999999993</v>
      </c>
      <c r="J1446" s="384">
        <f t="shared" si="193"/>
        <v>550.2974999999999</v>
      </c>
    </row>
    <row r="1447" spans="1:10" s="276" customFormat="1">
      <c r="A1447" s="263"/>
      <c r="B1447" s="381" t="s">
        <v>2338</v>
      </c>
      <c r="C1447" s="382" t="s">
        <v>711</v>
      </c>
      <c r="D1447" s="383" t="str">
        <f>COMPOSIÇÕES!B103</f>
        <v>FDE - 07/2023</v>
      </c>
      <c r="E1447" s="344" t="s">
        <v>732</v>
      </c>
      <c r="F1447" s="382" t="s">
        <v>431</v>
      </c>
      <c r="G1447" s="316">
        <v>4</v>
      </c>
      <c r="H1447" s="530">
        <f>COMPOSIÇÕES!F103</f>
        <v>22.98</v>
      </c>
      <c r="I1447" s="287">
        <f>COMPOSIÇÕES!$J$103</f>
        <v>27.461100000000002</v>
      </c>
      <c r="J1447" s="384">
        <f t="shared" si="193"/>
        <v>109.84440000000001</v>
      </c>
    </row>
    <row r="1448" spans="1:10" s="276" customFormat="1" ht="28.8">
      <c r="A1448" s="263"/>
      <c r="B1448" s="381" t="s">
        <v>2339</v>
      </c>
      <c r="C1448" s="382" t="s">
        <v>711</v>
      </c>
      <c r="D1448" s="535" t="str">
        <f>VLOOKUP(C1448,COMPOSIÇÕES!A:J,2,FALSE)</f>
        <v>SINAPI SP - 08/2023</v>
      </c>
      <c r="E1448" s="344" t="s">
        <v>871</v>
      </c>
      <c r="F1448" s="382" t="s">
        <v>431</v>
      </c>
      <c r="G1448" s="316">
        <v>12</v>
      </c>
      <c r="H1448" s="530">
        <f>COMPOSIÇÕES!F144</f>
        <v>28.62</v>
      </c>
      <c r="I1448" s="287">
        <f>COMPOSIÇÕES!$J$144</f>
        <v>34.200900000000004</v>
      </c>
      <c r="J1448" s="384">
        <f t="shared" si="193"/>
        <v>410.41080000000005</v>
      </c>
    </row>
    <row r="1449" spans="1:10" s="276" customFormat="1">
      <c r="A1449" s="263"/>
      <c r="B1449" s="381" t="s">
        <v>2340</v>
      </c>
      <c r="C1449" s="382" t="s">
        <v>711</v>
      </c>
      <c r="D1449" s="383" t="str">
        <f>COMPOSIÇÕES!B104</f>
        <v>FDE - 07/2023</v>
      </c>
      <c r="E1449" s="344" t="s">
        <v>731</v>
      </c>
      <c r="F1449" s="382" t="s">
        <v>431</v>
      </c>
      <c r="G1449" s="316">
        <v>12</v>
      </c>
      <c r="H1449" s="530">
        <f>COMPOSIÇÕES!F104</f>
        <v>34.06</v>
      </c>
      <c r="I1449" s="287">
        <f>COMPOSIÇÕES!$J$104</f>
        <v>40.701700000000002</v>
      </c>
      <c r="J1449" s="384">
        <f t="shared" si="193"/>
        <v>488.42040000000003</v>
      </c>
    </row>
    <row r="1450" spans="1:10" s="263" customFormat="1" ht="72">
      <c r="B1450" s="381" t="s">
        <v>2341</v>
      </c>
      <c r="C1450" s="275" t="s">
        <v>711</v>
      </c>
      <c r="D1450" s="277" t="str">
        <f>COMPOSIÇÕES!B333</f>
        <v>CDHU - BOLETIM 191 + FDE - 07/2023 + SINAPI SP - 08/2023</v>
      </c>
      <c r="E1450" s="278" t="s">
        <v>1017</v>
      </c>
      <c r="F1450" s="275" t="s">
        <v>530</v>
      </c>
      <c r="G1450" s="313">
        <v>1</v>
      </c>
      <c r="H1450" s="301">
        <f>SUM(COMPOSIÇÕES!G334:G340)</f>
        <v>6463.1162744769872</v>
      </c>
      <c r="I1450" s="286">
        <f>COMPOSIÇÕES!$J$333</f>
        <v>7723.4239479999997</v>
      </c>
      <c r="J1450" s="295">
        <f t="shared" si="193"/>
        <v>7723.4239479999997</v>
      </c>
    </row>
    <row r="1451" spans="1:10" s="263" customFormat="1">
      <c r="B1451" s="579" t="s">
        <v>2344</v>
      </c>
      <c r="C1451" s="580"/>
      <c r="D1451" s="580"/>
      <c r="E1451" s="580"/>
      <c r="F1451" s="580"/>
      <c r="G1451" s="580"/>
      <c r="H1451" s="580"/>
      <c r="I1451" s="581"/>
      <c r="J1451" s="296">
        <f>SUM(J1425:J1450)</f>
        <v>36109.872842552853</v>
      </c>
    </row>
    <row r="1452" spans="1:10" s="263" customFormat="1">
      <c r="B1452" s="237" t="s">
        <v>693</v>
      </c>
      <c r="C1452" s="238"/>
      <c r="D1452" s="533"/>
      <c r="E1452" s="239" t="s">
        <v>650</v>
      </c>
      <c r="F1452" s="238"/>
      <c r="G1452" s="312"/>
      <c r="H1452" s="300"/>
      <c r="I1452" s="285"/>
      <c r="J1452" s="294"/>
    </row>
    <row r="1453" spans="1:10" s="276" customFormat="1">
      <c r="A1453" s="263"/>
      <c r="B1453" s="381" t="s">
        <v>694</v>
      </c>
      <c r="C1453" s="382" t="s">
        <v>708</v>
      </c>
      <c r="D1453" s="383" t="str">
        <f>COMPOSIÇÕES!B115</f>
        <v>FDE - 07/2023</v>
      </c>
      <c r="E1453" s="344" t="s">
        <v>651</v>
      </c>
      <c r="F1453" s="382" t="s">
        <v>541</v>
      </c>
      <c r="G1453" s="316">
        <v>100</v>
      </c>
      <c r="H1453" s="290">
        <f>COMPOSIÇÕES!$G$116</f>
        <v>5.116260162601626</v>
      </c>
      <c r="I1453" s="287">
        <f>COMPOSIÇÕES!$J$115</f>
        <v>6.1139308943089432</v>
      </c>
      <c r="J1453" s="384">
        <f>G1453*I1453</f>
        <v>611.39308943089429</v>
      </c>
    </row>
    <row r="1454" spans="1:10" s="263" customFormat="1">
      <c r="B1454" s="579" t="s">
        <v>2345</v>
      </c>
      <c r="C1454" s="580"/>
      <c r="D1454" s="580"/>
      <c r="E1454" s="580"/>
      <c r="F1454" s="580"/>
      <c r="G1454" s="580"/>
      <c r="H1454" s="580"/>
      <c r="I1454" s="581"/>
      <c r="J1454" s="296">
        <f>J1453</f>
        <v>611.39308943089429</v>
      </c>
    </row>
    <row r="1455" spans="1:10" s="263" customFormat="1" ht="25.5" customHeight="1" thickBot="1">
      <c r="B1455" s="564" t="s">
        <v>695</v>
      </c>
      <c r="C1455" s="565"/>
      <c r="D1455" s="565"/>
      <c r="E1455" s="565"/>
      <c r="F1455" s="565"/>
      <c r="G1455" s="565"/>
      <c r="H1455" s="565"/>
      <c r="I1455" s="566"/>
      <c r="J1455" s="297">
        <f>J1402+J1423+J1451+J1454</f>
        <v>98037.684005776246</v>
      </c>
    </row>
    <row r="1456" spans="1:10" s="263" customFormat="1">
      <c r="B1456" s="264" t="s">
        <v>2346</v>
      </c>
      <c r="C1456" s="265"/>
      <c r="D1456" s="534"/>
      <c r="E1456" s="266" t="s">
        <v>534</v>
      </c>
      <c r="F1456" s="265"/>
      <c r="G1456" s="310"/>
      <c r="H1456" s="298"/>
      <c r="I1456" s="283"/>
      <c r="J1456" s="292"/>
    </row>
    <row r="1457" spans="1:10" s="263" customFormat="1" ht="6" customHeight="1">
      <c r="B1457" s="234"/>
      <c r="C1457" s="235"/>
      <c r="D1457" s="532"/>
      <c r="E1457" s="236"/>
      <c r="F1457" s="235"/>
      <c r="G1457" s="311"/>
      <c r="H1457" s="299"/>
      <c r="I1457" s="284"/>
      <c r="J1457" s="293"/>
    </row>
    <row r="1458" spans="1:10" s="263" customFormat="1">
      <c r="B1458" s="237" t="s">
        <v>2347</v>
      </c>
      <c r="C1458" s="238"/>
      <c r="D1458" s="533"/>
      <c r="E1458" s="239" t="s">
        <v>483</v>
      </c>
      <c r="F1458" s="238"/>
      <c r="G1458" s="312"/>
      <c r="H1458" s="300"/>
      <c r="I1458" s="285"/>
      <c r="J1458" s="294"/>
    </row>
    <row r="1459" spans="1:10" s="150" customFormat="1">
      <c r="B1459" s="381" t="s">
        <v>2348</v>
      </c>
      <c r="C1459" s="382" t="str">
        <f t="shared" ref="C1459:J1460" si="197">C1400</f>
        <v>16.06.076</v>
      </c>
      <c r="D1459" s="383" t="str">
        <f t="shared" si="197"/>
        <v>FDE - 07/2023</v>
      </c>
      <c r="E1459" s="344" t="str">
        <f t="shared" si="197"/>
        <v>FORNECIMENTO E INSTALAÇAO DE PLACAS DE OBRA</v>
      </c>
      <c r="F1459" s="382" t="str">
        <f t="shared" si="197"/>
        <v>M²</v>
      </c>
      <c r="G1459" s="316">
        <f t="shared" si="197"/>
        <v>5</v>
      </c>
      <c r="H1459" s="290">
        <f t="shared" si="197"/>
        <v>407.8057</v>
      </c>
      <c r="I1459" s="287">
        <f t="shared" si="197"/>
        <v>487.3278115</v>
      </c>
      <c r="J1459" s="384">
        <f t="shared" si="197"/>
        <v>2436.6390575</v>
      </c>
    </row>
    <row r="1460" spans="1:10" s="276" customFormat="1" ht="28.8">
      <c r="B1460" s="381" t="s">
        <v>2349</v>
      </c>
      <c r="C1460" s="382">
        <f t="shared" si="197"/>
        <v>37524</v>
      </c>
      <c r="D1460" s="383" t="str">
        <f t="shared" si="197"/>
        <v>SINAPI SP - 08/2023</v>
      </c>
      <c r="E1460" s="344" t="str">
        <f t="shared" si="197"/>
        <v>TELA PLASTICA LARANJA, TIPO TAPUME PARA SINALIZACAO, MALHA RETANGULAR, ROLO 1.20 X 50 M (L X C)</v>
      </c>
      <c r="F1460" s="382" t="str">
        <f t="shared" si="197"/>
        <v>M²</v>
      </c>
      <c r="G1460" s="316">
        <f t="shared" si="197"/>
        <v>40</v>
      </c>
      <c r="H1460" s="290">
        <f t="shared" si="197"/>
        <v>2</v>
      </c>
      <c r="I1460" s="287">
        <f t="shared" si="197"/>
        <v>2.39</v>
      </c>
      <c r="J1460" s="384">
        <f t="shared" si="197"/>
        <v>95.600000000000009</v>
      </c>
    </row>
    <row r="1461" spans="1:10" s="263" customFormat="1">
      <c r="B1461" s="579" t="s">
        <v>2400</v>
      </c>
      <c r="C1461" s="580"/>
      <c r="D1461" s="580"/>
      <c r="E1461" s="580"/>
      <c r="F1461" s="580"/>
      <c r="G1461" s="580"/>
      <c r="H1461" s="580"/>
      <c r="I1461" s="581"/>
      <c r="J1461" s="296">
        <f>SUM(J1459:J1460)</f>
        <v>2532.2390574999999</v>
      </c>
    </row>
    <row r="1462" spans="1:10" s="263" customFormat="1">
      <c r="B1462" s="237" t="s">
        <v>2350</v>
      </c>
      <c r="C1462" s="238"/>
      <c r="D1462" s="533"/>
      <c r="E1462" s="239" t="s">
        <v>525</v>
      </c>
      <c r="F1462" s="238"/>
      <c r="G1462" s="312"/>
      <c r="H1462" s="300"/>
      <c r="I1462" s="285"/>
      <c r="J1462" s="294"/>
    </row>
    <row r="1463" spans="1:10" s="276" customFormat="1" ht="28.8">
      <c r="B1463" s="381" t="s">
        <v>2351</v>
      </c>
      <c r="C1463" s="382" t="s">
        <v>711</v>
      </c>
      <c r="D1463" s="383" t="str">
        <f>COMPOSIÇÕES!B10</f>
        <v>SINAPI SP - 08/2023</v>
      </c>
      <c r="E1463" s="487" t="s">
        <v>2404</v>
      </c>
      <c r="F1463" s="382" t="s">
        <v>431</v>
      </c>
      <c r="G1463" s="315">
        <v>33</v>
      </c>
      <c r="H1463" s="290">
        <f>SUM(COMPOSIÇÕES!G11:G13)</f>
        <v>328.17395199999999</v>
      </c>
      <c r="I1463" s="287">
        <f>COMPOSIÇÕES!J10</f>
        <v>392.16787263999993</v>
      </c>
      <c r="J1463" s="384">
        <f>G1463*I1463</f>
        <v>12941.539797119998</v>
      </c>
    </row>
    <row r="1464" spans="1:10" s="150" customFormat="1" ht="86.4">
      <c r="B1464" s="381" t="s">
        <v>2352</v>
      </c>
      <c r="C1464" s="382" t="s">
        <v>711</v>
      </c>
      <c r="D1464" s="383" t="str">
        <f>COMPOSIÇÕES!B14</f>
        <v>SINAPI SP - 08/2023</v>
      </c>
      <c r="E1464" s="344" t="s">
        <v>754</v>
      </c>
      <c r="F1464" s="382" t="s">
        <v>412</v>
      </c>
      <c r="G1464" s="317">
        <v>72</v>
      </c>
      <c r="H1464" s="290">
        <f>SUM(COMPOSIÇÕES!G15:G18)</f>
        <v>37.264400000000002</v>
      </c>
      <c r="I1464" s="287">
        <f>COMPOSIÇÕES!$J$14</f>
        <v>44.530958000000005</v>
      </c>
      <c r="J1464" s="384">
        <f t="shared" ref="J1464" si="198">J1405</f>
        <v>1202.3358660000001</v>
      </c>
    </row>
    <row r="1465" spans="1:10" s="150" customFormat="1" ht="86.4">
      <c r="B1465" s="381" t="s">
        <v>2353</v>
      </c>
      <c r="C1465" s="382" t="s">
        <v>711</v>
      </c>
      <c r="D1465" s="383" t="str">
        <f>COMPOSIÇÕES!B19</f>
        <v>SINAPI SP - 08/2023</v>
      </c>
      <c r="E1465" s="344" t="s">
        <v>755</v>
      </c>
      <c r="F1465" s="382" t="s">
        <v>412</v>
      </c>
      <c r="G1465" s="317">
        <v>35</v>
      </c>
      <c r="H1465" s="290">
        <f>SUM(COMPOSIÇÕES!G20:G23)</f>
        <v>69.234999999999985</v>
      </c>
      <c r="I1465" s="287">
        <f>COMPOSIÇÕES!$J$19</f>
        <v>82.735824999999991</v>
      </c>
      <c r="J1465" s="384">
        <f t="shared" ref="J1465:J1477" si="199">G1465*I1465</f>
        <v>2895.7538749999999</v>
      </c>
    </row>
    <row r="1466" spans="1:10" s="150" customFormat="1" ht="86.4">
      <c r="B1466" s="381" t="s">
        <v>2354</v>
      </c>
      <c r="C1466" s="382" t="s">
        <v>711</v>
      </c>
      <c r="D1466" s="383" t="str">
        <f>COMPOSIÇÕES!B117</f>
        <v>SINAPI SP - 08/2023</v>
      </c>
      <c r="E1466" s="344" t="s">
        <v>804</v>
      </c>
      <c r="F1466" s="382" t="s">
        <v>412</v>
      </c>
      <c r="G1466" s="317">
        <v>37</v>
      </c>
      <c r="H1466" s="290">
        <f>SUM(COMPOSIÇÕES!G118:G121)</f>
        <v>94.308000000000007</v>
      </c>
      <c r="I1466" s="287">
        <f>COMPOSIÇÕES!$J$117</f>
        <v>112.69806</v>
      </c>
      <c r="J1466" s="384">
        <f t="shared" si="199"/>
        <v>4169.8282200000003</v>
      </c>
    </row>
    <row r="1467" spans="1:10" s="150" customFormat="1" ht="86.4">
      <c r="B1467" s="381" t="s">
        <v>2355</v>
      </c>
      <c r="C1467" s="382" t="s">
        <v>711</v>
      </c>
      <c r="D1467" s="383" t="str">
        <f>COMPOSIÇÕES!B24</f>
        <v>SINAPI SP - 08/2023</v>
      </c>
      <c r="E1467" s="344" t="s">
        <v>747</v>
      </c>
      <c r="F1467" s="382" t="s">
        <v>412</v>
      </c>
      <c r="G1467" s="317">
        <v>86</v>
      </c>
      <c r="H1467" s="290">
        <f>SUM(COMPOSIÇÕES!G25:G28)</f>
        <v>53.322000000000003</v>
      </c>
      <c r="I1467" s="287">
        <f>COMPOSIÇÕES!$J$24</f>
        <v>63.719789999999996</v>
      </c>
      <c r="J1467" s="384">
        <f t="shared" si="199"/>
        <v>5479.9019399999997</v>
      </c>
    </row>
    <row r="1468" spans="1:10" s="393" customFormat="1" ht="86.4">
      <c r="A1468" s="150"/>
      <c r="B1468" s="381" t="s">
        <v>2356</v>
      </c>
      <c r="C1468" s="394" t="s">
        <v>711</v>
      </c>
      <c r="D1468" s="389" t="str">
        <f>COMPOSIÇÕES!B29</f>
        <v xml:space="preserve">SINAPI SP - 08/2023 </v>
      </c>
      <c r="E1468" s="395" t="s">
        <v>748</v>
      </c>
      <c r="F1468" s="394" t="s">
        <v>412</v>
      </c>
      <c r="G1468" s="315">
        <v>86</v>
      </c>
      <c r="H1468" s="392">
        <f>SUM(COMPOSIÇÕES!G30:G33)</f>
        <v>85.438000000000002</v>
      </c>
      <c r="I1468" s="396">
        <f>COMPOSIÇÕES!$J$29</f>
        <v>102.09840999999999</v>
      </c>
      <c r="J1468" s="397">
        <f t="shared" si="199"/>
        <v>8780.4632599999986</v>
      </c>
    </row>
    <row r="1469" spans="1:10" s="393" customFormat="1" ht="28.8">
      <c r="A1469" s="150"/>
      <c r="B1469" s="381" t="s">
        <v>2357</v>
      </c>
      <c r="C1469" s="394" t="str">
        <f t="shared" ref="C1469:I1469" si="200">C1409</f>
        <v>22.02.030</v>
      </c>
      <c r="D1469" s="389" t="str">
        <f t="shared" si="200"/>
        <v>CDHU - BOLETIM 191</v>
      </c>
      <c r="E1469" s="395" t="str">
        <f t="shared" si="200"/>
        <v>Forro em painéis de gesso acartonado, espessura de 12,5mm, fixo</v>
      </c>
      <c r="F1469" s="394" t="str">
        <f t="shared" si="200"/>
        <v>M²</v>
      </c>
      <c r="G1469" s="315">
        <f>5.7*0.55*2*18</f>
        <v>112.86000000000001</v>
      </c>
      <c r="H1469" s="392">
        <f t="shared" si="200"/>
        <v>99.47</v>
      </c>
      <c r="I1469" s="396">
        <f t="shared" si="200"/>
        <v>118.86664999999999</v>
      </c>
      <c r="J1469" s="397">
        <f t="shared" si="199"/>
        <v>13415.290119000001</v>
      </c>
    </row>
    <row r="1470" spans="1:10" s="150" customFormat="1" ht="57.6">
      <c r="B1470" s="381" t="s">
        <v>2358</v>
      </c>
      <c r="C1470" s="382" t="s">
        <v>711</v>
      </c>
      <c r="D1470" s="383" t="str">
        <f>COMPOSIÇÕES!B36</f>
        <v xml:space="preserve">SINAPI SP - 08/2023 </v>
      </c>
      <c r="E1470" s="398" t="s">
        <v>756</v>
      </c>
      <c r="F1470" s="382" t="s">
        <v>413</v>
      </c>
      <c r="G1470" s="315">
        <v>250</v>
      </c>
      <c r="H1470" s="287">
        <f>SUM(COMPOSIÇÕES!G37:G39)</f>
        <v>84.94</v>
      </c>
      <c r="I1470" s="287">
        <f>COMPOSIÇÕES!$J$36</f>
        <v>101.5033</v>
      </c>
      <c r="J1470" s="384">
        <f t="shared" si="199"/>
        <v>25375.825000000001</v>
      </c>
    </row>
    <row r="1471" spans="1:10" s="335" customFormat="1" ht="28.8">
      <c r="A1471" s="150"/>
      <c r="B1471" s="381" t="s">
        <v>2359</v>
      </c>
      <c r="C1471" s="383" t="str">
        <f>COMPOSIÇÕES!A44</f>
        <v>61.10.565</v>
      </c>
      <c r="D1471" s="383" t="str">
        <f>COMPOSIÇÕES!B44</f>
        <v>CDHU - BOLETIM 191</v>
      </c>
      <c r="E1471" s="388" t="s">
        <v>1042</v>
      </c>
      <c r="F1471" s="382" t="s">
        <v>431</v>
      </c>
      <c r="G1471" s="315">
        <v>15</v>
      </c>
      <c r="H1471" s="287">
        <f>COMPOSIÇÕES!G45</f>
        <v>248.91654375000002</v>
      </c>
      <c r="I1471" s="287">
        <f>COMPOSIÇÕES!$J$44</f>
        <v>297.45526978125002</v>
      </c>
      <c r="J1471" s="384">
        <f t="shared" si="199"/>
        <v>4461.8290467187508</v>
      </c>
    </row>
    <row r="1472" spans="1:10" s="335" customFormat="1" ht="28.8">
      <c r="A1472" s="150"/>
      <c r="B1472" s="381" t="s">
        <v>2360</v>
      </c>
      <c r="C1472" s="383" t="str">
        <f>COMPOSIÇÕES!A46</f>
        <v>61.10.564</v>
      </c>
      <c r="D1472" s="383" t="str">
        <f>COMPOSIÇÕES!B46</f>
        <v>CDHU - BOLETIM 191</v>
      </c>
      <c r="E1472" s="388" t="s">
        <v>1043</v>
      </c>
      <c r="F1472" s="382" t="s">
        <v>431</v>
      </c>
      <c r="G1472" s="315">
        <v>2</v>
      </c>
      <c r="H1472" s="287">
        <f>COMPOSIÇÕES!G47</f>
        <v>49.947131250000005</v>
      </c>
      <c r="I1472" s="287">
        <f>COMPOSIÇÕES!$J$46</f>
        <v>59.68682184375001</v>
      </c>
      <c r="J1472" s="384">
        <f t="shared" si="199"/>
        <v>119.37364368750002</v>
      </c>
    </row>
    <row r="1473" spans="1:10" s="335" customFormat="1" ht="28.8">
      <c r="A1473" s="150"/>
      <c r="B1473" s="381" t="s">
        <v>2361</v>
      </c>
      <c r="C1473" s="383" t="str">
        <f>COMPOSIÇÕES!A48</f>
        <v>61.10.564</v>
      </c>
      <c r="D1473" s="383" t="str">
        <f>COMPOSIÇÕES!B48</f>
        <v>CDHU - BOLETIM 191</v>
      </c>
      <c r="E1473" s="388" t="s">
        <v>1044</v>
      </c>
      <c r="F1473" s="382" t="s">
        <v>431</v>
      </c>
      <c r="G1473" s="315">
        <v>1</v>
      </c>
      <c r="H1473" s="287">
        <f>COMPOSIÇÕES!G49</f>
        <v>82.875240000000005</v>
      </c>
      <c r="I1473" s="287">
        <f>COMPOSIÇÕES!$J$48</f>
        <v>99.035911800000008</v>
      </c>
      <c r="J1473" s="384">
        <f t="shared" si="199"/>
        <v>99.035911800000008</v>
      </c>
    </row>
    <row r="1474" spans="1:10" s="150" customFormat="1" ht="28.8">
      <c r="B1474" s="381" t="s">
        <v>2362</v>
      </c>
      <c r="C1474" s="383" t="str">
        <f>COMPOSIÇÕES!A122</f>
        <v>61.10.581</v>
      </c>
      <c r="D1474" s="383" t="str">
        <f>COMPOSIÇÕES!B122</f>
        <v>CDHU - BOLETIM 191</v>
      </c>
      <c r="E1474" s="388" t="s">
        <v>809</v>
      </c>
      <c r="F1474" s="382" t="s">
        <v>431</v>
      </c>
      <c r="G1474" s="317">
        <v>1</v>
      </c>
      <c r="H1474" s="287">
        <f>COMPOSIÇÕES!G123</f>
        <v>33.890000000000008</v>
      </c>
      <c r="I1474" s="287">
        <f>COMPOSIÇÕES!$J$122</f>
        <v>40.498550000000009</v>
      </c>
      <c r="J1474" s="384">
        <f t="shared" si="199"/>
        <v>40.498550000000009</v>
      </c>
    </row>
    <row r="1475" spans="1:10" s="150" customFormat="1" ht="28.8">
      <c r="B1475" s="381" t="s">
        <v>2363</v>
      </c>
      <c r="C1475" s="383" t="str">
        <f>COMPOSIÇÕES!A124</f>
        <v>61.10.581</v>
      </c>
      <c r="D1475" s="383" t="str">
        <f>COMPOSIÇÕES!B124</f>
        <v>CDHU - BOLETIM 191</v>
      </c>
      <c r="E1475" s="388" t="s">
        <v>1119</v>
      </c>
      <c r="F1475" s="382" t="s">
        <v>431</v>
      </c>
      <c r="G1475" s="317">
        <v>15</v>
      </c>
      <c r="H1475" s="287">
        <f>SUM(COMPOSIÇÕES!$G$125:$G$125)</f>
        <v>203.34</v>
      </c>
      <c r="I1475" s="287">
        <f>COMPOSIÇÕES!$J$124</f>
        <v>242.9913</v>
      </c>
      <c r="J1475" s="384">
        <f t="shared" si="199"/>
        <v>3644.8694999999998</v>
      </c>
    </row>
    <row r="1476" spans="1:10" s="150" customFormat="1" ht="28.8">
      <c r="B1476" s="381" t="s">
        <v>2364</v>
      </c>
      <c r="C1476" s="383" t="str">
        <f>COMPOSIÇÕES!A56</f>
        <v>61.10.581</v>
      </c>
      <c r="D1476" s="383" t="str">
        <f>COMPOSIÇÕES!B56</f>
        <v>CDHU - BOLETIM 191</v>
      </c>
      <c r="E1476" s="388" t="s">
        <v>1117</v>
      </c>
      <c r="F1476" s="382" t="s">
        <v>431</v>
      </c>
      <c r="G1476" s="315">
        <v>2</v>
      </c>
      <c r="H1476" s="287">
        <f>COMPOSIÇÕES!G57</f>
        <v>16.945000000000004</v>
      </c>
      <c r="I1476" s="287">
        <f>COMPOSIÇÕES!$J$56</f>
        <v>20.249275000000004</v>
      </c>
      <c r="J1476" s="384">
        <f t="shared" si="199"/>
        <v>40.498550000000009</v>
      </c>
    </row>
    <row r="1477" spans="1:10" s="150" customFormat="1" ht="28.8">
      <c r="A1477" s="271"/>
      <c r="B1477" s="381" t="s">
        <v>2365</v>
      </c>
      <c r="C1477" s="382" t="s">
        <v>711</v>
      </c>
      <c r="D1477" s="383" t="str">
        <f>COMPOSIÇÕES!B58</f>
        <v xml:space="preserve">SINAPI SP - 08/2023 </v>
      </c>
      <c r="E1477" s="388" t="s">
        <v>758</v>
      </c>
      <c r="F1477" s="382" t="s">
        <v>412</v>
      </c>
      <c r="G1477" s="315">
        <v>240</v>
      </c>
      <c r="H1477" s="287">
        <f>SUM(COMPOSIÇÕES!G59:G61)</f>
        <v>31.499000000000002</v>
      </c>
      <c r="I1477" s="287">
        <f>COMPOSIÇÕES!$J$58</f>
        <v>37.641304999999996</v>
      </c>
      <c r="J1477" s="384">
        <f t="shared" si="199"/>
        <v>9033.9131999999991</v>
      </c>
    </row>
    <row r="1478" spans="1:10" s="150" customFormat="1" ht="28.8">
      <c r="A1478" s="271"/>
      <c r="B1478" s="381" t="s">
        <v>2366</v>
      </c>
      <c r="C1478" s="382" t="s">
        <v>711</v>
      </c>
      <c r="D1478" s="383" t="str">
        <f>COMPOSIÇÕES!B64</f>
        <v>SINAPI SP - 08/2023</v>
      </c>
      <c r="E1478" s="388" t="s">
        <v>697</v>
      </c>
      <c r="F1478" s="382" t="s">
        <v>431</v>
      </c>
      <c r="G1478" s="315">
        <v>34</v>
      </c>
      <c r="H1478" s="287">
        <f>SUM(COMPOSIÇÕES!$G$65:$G$67)</f>
        <v>92.32</v>
      </c>
      <c r="I1478" s="287">
        <f>COMPOSIÇÕES!$J$64</f>
        <v>110.32240000000002</v>
      </c>
      <c r="J1478" s="384">
        <f>I1478*G1478</f>
        <v>3750.9616000000005</v>
      </c>
    </row>
    <row r="1479" spans="1:10" s="150" customFormat="1" ht="28.8">
      <c r="A1479" s="271"/>
      <c r="B1479" s="381" t="s">
        <v>2367</v>
      </c>
      <c r="C1479" s="382" t="s">
        <v>711</v>
      </c>
      <c r="D1479" s="383" t="str">
        <f>COMPOSIÇÕES!B68</f>
        <v xml:space="preserve">SINAPI SP - 08/2023 </v>
      </c>
      <c r="E1479" s="388" t="s">
        <v>762</v>
      </c>
      <c r="F1479" s="382" t="s">
        <v>415</v>
      </c>
      <c r="G1479" s="315">
        <v>8</v>
      </c>
      <c r="H1479" s="287">
        <f>SUM(COMPOSIÇÕES!$G$69:$G$70)</f>
        <v>58.91</v>
      </c>
      <c r="I1479" s="287">
        <f>COMPOSIÇÕES!$J$68</f>
        <v>70.397449999999992</v>
      </c>
      <c r="J1479" s="384">
        <f>I1479*G1479</f>
        <v>563.17959999999994</v>
      </c>
    </row>
    <row r="1480" spans="1:10" s="150" customFormat="1" ht="28.8">
      <c r="A1480" s="271"/>
      <c r="B1480" s="381" t="s">
        <v>2368</v>
      </c>
      <c r="C1480" s="399" t="s">
        <v>763</v>
      </c>
      <c r="D1480" s="273" t="str">
        <f>COMPOSIÇÕES!B71</f>
        <v xml:space="preserve">SINAPI SP - 08/2023 </v>
      </c>
      <c r="E1480" s="400" t="s">
        <v>761</v>
      </c>
      <c r="F1480" s="273" t="s">
        <v>541</v>
      </c>
      <c r="G1480" s="316">
        <v>2</v>
      </c>
      <c r="H1480" s="287">
        <f>SUM(COMPOSIÇÕES!$G$72:$G$72)</f>
        <v>28.8</v>
      </c>
      <c r="I1480" s="287">
        <f>COMPOSIÇÕES!$J$71</f>
        <v>34.416000000000004</v>
      </c>
      <c r="J1480" s="384">
        <f>I1480*G1480</f>
        <v>68.832000000000008</v>
      </c>
    </row>
    <row r="1481" spans="1:10" s="150" customFormat="1">
      <c r="A1481" s="271"/>
      <c r="B1481" s="381" t="s">
        <v>2430</v>
      </c>
      <c r="C1481" s="399" t="s">
        <v>759</v>
      </c>
      <c r="D1481" s="273" t="str">
        <f>COMPOSIÇÕES!B73</f>
        <v>FDE - 07/2023</v>
      </c>
      <c r="E1481" s="400" t="s">
        <v>760</v>
      </c>
      <c r="F1481" s="273" t="s">
        <v>701</v>
      </c>
      <c r="G1481" s="316">
        <v>1</v>
      </c>
      <c r="H1481" s="530">
        <f>VLOOKUP(C1481,COMPOSIÇÕES!A:J,6,FALSE)</f>
        <v>38.485355648535567</v>
      </c>
      <c r="I1481" s="287">
        <f>COMPOSIÇÕES!$J$73</f>
        <v>45.99</v>
      </c>
      <c r="J1481" s="384">
        <f>I1481*G1481</f>
        <v>45.99</v>
      </c>
    </row>
    <row r="1482" spans="1:10" s="150" customFormat="1">
      <c r="A1482" s="271"/>
      <c r="B1482" s="381" t="s">
        <v>2458</v>
      </c>
      <c r="C1482" s="399" t="s">
        <v>764</v>
      </c>
      <c r="D1482" s="273" t="str">
        <f>COMPOSIÇÕES!B74</f>
        <v>FDE - 07/2023</v>
      </c>
      <c r="E1482" s="400" t="s">
        <v>765</v>
      </c>
      <c r="F1482" s="273" t="s">
        <v>541</v>
      </c>
      <c r="G1482" s="316">
        <v>3</v>
      </c>
      <c r="H1482" s="530">
        <f>VLOOKUP(C1482,COMPOSIÇÕES!A:J,6,FALSE)</f>
        <v>210.81171548117152</v>
      </c>
      <c r="I1482" s="287">
        <f>COMPOSIÇÕES!$J$74</f>
        <v>251.91999999999996</v>
      </c>
      <c r="J1482" s="384">
        <f>I1482*G1482</f>
        <v>755.75999999999988</v>
      </c>
    </row>
    <row r="1483" spans="1:10" s="263" customFormat="1">
      <c r="B1483" s="579" t="s">
        <v>2401</v>
      </c>
      <c r="C1483" s="580"/>
      <c r="D1483" s="580"/>
      <c r="E1483" s="580"/>
      <c r="F1483" s="580"/>
      <c r="G1483" s="580"/>
      <c r="H1483" s="580"/>
      <c r="I1483" s="581"/>
      <c r="J1483" s="296">
        <f>SUM(J1463:J1482)</f>
        <v>96885.679679326247</v>
      </c>
    </row>
    <row r="1484" spans="1:10" s="263" customFormat="1">
      <c r="B1484" s="237" t="s">
        <v>2369</v>
      </c>
      <c r="C1484" s="238"/>
      <c r="D1484" s="533"/>
      <c r="E1484" s="239" t="s">
        <v>526</v>
      </c>
      <c r="F1484" s="238"/>
      <c r="G1484" s="312"/>
      <c r="H1484" s="300"/>
      <c r="I1484" s="285"/>
      <c r="J1484" s="294"/>
    </row>
    <row r="1485" spans="1:10" s="276" customFormat="1">
      <c r="A1485" s="263"/>
      <c r="B1485" s="381" t="s">
        <v>2370</v>
      </c>
      <c r="C1485" s="382" t="s">
        <v>711</v>
      </c>
      <c r="D1485" s="383" t="str">
        <f>COMPOSIÇÕES!B75</f>
        <v>FDE - 07/2023</v>
      </c>
      <c r="E1485" s="344" t="s">
        <v>745</v>
      </c>
      <c r="F1485" s="382" t="s">
        <v>431</v>
      </c>
      <c r="G1485" s="316">
        <v>100</v>
      </c>
      <c r="H1485" s="290">
        <f>SUM(COMPOSIÇÕES!G76:G78)</f>
        <v>34.013252032520327</v>
      </c>
      <c r="I1485" s="287">
        <f>COMPOSIÇÕES!$J$75</f>
        <v>40.645836178861792</v>
      </c>
      <c r="J1485" s="384">
        <f t="shared" ref="J1485:J1512" si="201">G1485*I1485</f>
        <v>4064.5836178861791</v>
      </c>
    </row>
    <row r="1486" spans="1:10" s="276" customFormat="1" ht="43.2">
      <c r="A1486" s="263"/>
      <c r="B1486" s="381" t="s">
        <v>2371</v>
      </c>
      <c r="C1486" s="382" t="s">
        <v>711</v>
      </c>
      <c r="D1486" s="383" t="str">
        <f>COMPOSIÇÕES!B128</f>
        <v>FDE - 07/2023 + SINAPI SP - 08/2023</v>
      </c>
      <c r="E1486" s="344" t="s">
        <v>812</v>
      </c>
      <c r="F1486" s="382" t="s">
        <v>431</v>
      </c>
      <c r="G1486" s="316">
        <v>6</v>
      </c>
      <c r="H1486" s="290">
        <f>COMPOSIÇÕES!G129+COMPOSIÇÕES!G130+COMPOSIÇÕES!G131</f>
        <v>23.056000000000001</v>
      </c>
      <c r="I1486" s="287">
        <f>COMPOSIÇÕES!$J$128</f>
        <v>27.551920000000003</v>
      </c>
      <c r="J1486" s="384">
        <f t="shared" si="201"/>
        <v>165.31152000000003</v>
      </c>
    </row>
    <row r="1487" spans="1:10" s="276" customFormat="1" ht="28.8">
      <c r="A1487" s="263"/>
      <c r="B1487" s="381" t="s">
        <v>2372</v>
      </c>
      <c r="C1487" s="382" t="s">
        <v>711</v>
      </c>
      <c r="D1487" s="383" t="str">
        <f>COMPOSIÇÕES!B136</f>
        <v>FDE - 07/2023</v>
      </c>
      <c r="E1487" s="344" t="s">
        <v>816</v>
      </c>
      <c r="F1487" s="382" t="s">
        <v>431</v>
      </c>
      <c r="G1487" s="316">
        <v>1</v>
      </c>
      <c r="H1487" s="290">
        <f>SUM(COMPOSIÇÕES!G137:G139)</f>
        <v>28.625999999999998</v>
      </c>
      <c r="I1487" s="287">
        <f>COMPOSIÇÕES!$J$136</f>
        <v>34.208069999999999</v>
      </c>
      <c r="J1487" s="384">
        <f t="shared" si="201"/>
        <v>34.208069999999999</v>
      </c>
    </row>
    <row r="1488" spans="1:10" s="276" customFormat="1">
      <c r="A1488" s="263"/>
      <c r="B1488" s="381" t="s">
        <v>2373</v>
      </c>
      <c r="C1488" s="382" t="s">
        <v>739</v>
      </c>
      <c r="D1488" s="383" t="str">
        <f>COMPOSIÇÕES!B83</f>
        <v>FDE - 07/2023</v>
      </c>
      <c r="E1488" s="344" t="s">
        <v>766</v>
      </c>
      <c r="F1488" s="382" t="s">
        <v>431</v>
      </c>
      <c r="G1488" s="316">
        <v>40</v>
      </c>
      <c r="H1488" s="530">
        <f>VLOOKUP(C1488,COMPOSIÇÕES!A:J,6,FALSE)</f>
        <v>32.35146443514644</v>
      </c>
      <c r="I1488" s="287">
        <f>COMPOSIÇÕES!$J$83</f>
        <v>38.659999999999997</v>
      </c>
      <c r="J1488" s="384">
        <f t="shared" si="201"/>
        <v>1546.3999999999999</v>
      </c>
    </row>
    <row r="1489" spans="1:10" s="276" customFormat="1">
      <c r="A1489" s="263"/>
      <c r="B1489" s="381" t="s">
        <v>2374</v>
      </c>
      <c r="C1489" s="382" t="s">
        <v>739</v>
      </c>
      <c r="D1489" s="535" t="str">
        <f>VLOOKUP(C1489,COMPOSIÇÕES!A:J,2,FALSE)</f>
        <v>FDE - 07/2023</v>
      </c>
      <c r="E1489" s="344" t="s">
        <v>767</v>
      </c>
      <c r="F1489" s="382" t="s">
        <v>431</v>
      </c>
      <c r="G1489" s="316">
        <v>12</v>
      </c>
      <c r="H1489" s="530">
        <f>VLOOKUP(C1489,COMPOSIÇÕES!A:J,6,FALSE)</f>
        <v>32.35146443514644</v>
      </c>
      <c r="I1489" s="287">
        <f>COMPOSIÇÕES!$J$83</f>
        <v>38.659999999999997</v>
      </c>
      <c r="J1489" s="384">
        <f t="shared" si="201"/>
        <v>463.91999999999996</v>
      </c>
    </row>
    <row r="1490" spans="1:10" s="276" customFormat="1">
      <c r="A1490" s="263"/>
      <c r="B1490" s="381" t="s">
        <v>2375</v>
      </c>
      <c r="C1490" s="382" t="s">
        <v>739</v>
      </c>
      <c r="D1490" s="535" t="str">
        <f>VLOOKUP(C1490,COMPOSIÇÕES!A:J,2,FALSE)</f>
        <v>FDE - 07/2023</v>
      </c>
      <c r="E1490" s="344" t="s">
        <v>768</v>
      </c>
      <c r="F1490" s="382" t="s">
        <v>431</v>
      </c>
      <c r="G1490" s="316">
        <v>16</v>
      </c>
      <c r="H1490" s="530">
        <f>VLOOKUP(C1490,COMPOSIÇÕES!A:J,6,FALSE)</f>
        <v>32.35146443514644</v>
      </c>
      <c r="I1490" s="287">
        <f>COMPOSIÇÕES!$J$83</f>
        <v>38.659999999999997</v>
      </c>
      <c r="J1490" s="384">
        <f t="shared" si="201"/>
        <v>618.55999999999995</v>
      </c>
    </row>
    <row r="1491" spans="1:10" s="276" customFormat="1">
      <c r="A1491" s="263"/>
      <c r="B1491" s="381" t="s">
        <v>2376</v>
      </c>
      <c r="C1491" s="382" t="s">
        <v>819</v>
      </c>
      <c r="D1491" s="383" t="str">
        <f>COMPOSIÇÕES!B140</f>
        <v>FDE - 07/2023</v>
      </c>
      <c r="E1491" s="344" t="s">
        <v>823</v>
      </c>
      <c r="F1491" s="382" t="s">
        <v>431</v>
      </c>
      <c r="G1491" s="316">
        <v>4</v>
      </c>
      <c r="H1491" s="530">
        <f>COMPOSIÇÕES!F140</f>
        <v>68.63</v>
      </c>
      <c r="I1491" s="287">
        <f>COMPOSIÇÕES!$J$140</f>
        <v>82.01285</v>
      </c>
      <c r="J1491" s="384">
        <f t="shared" si="201"/>
        <v>328.0514</v>
      </c>
    </row>
    <row r="1492" spans="1:10" s="276" customFormat="1">
      <c r="A1492" s="263"/>
      <c r="B1492" s="381" t="s">
        <v>2377</v>
      </c>
      <c r="C1492" s="382" t="s">
        <v>819</v>
      </c>
      <c r="D1492" s="383" t="str">
        <f>COMPOSIÇÕES!B140</f>
        <v>FDE - 07/2023</v>
      </c>
      <c r="E1492" s="344" t="s">
        <v>820</v>
      </c>
      <c r="F1492" s="382" t="s">
        <v>431</v>
      </c>
      <c r="G1492" s="316">
        <v>4</v>
      </c>
      <c r="H1492" s="530">
        <f>COMPOSIÇÕES!F140</f>
        <v>68.63</v>
      </c>
      <c r="I1492" s="287">
        <f>COMPOSIÇÕES!$J$140</f>
        <v>82.01285</v>
      </c>
      <c r="J1492" s="384">
        <f t="shared" si="201"/>
        <v>328.0514</v>
      </c>
    </row>
    <row r="1493" spans="1:10" s="276" customFormat="1" ht="43.2">
      <c r="A1493" s="263"/>
      <c r="B1493" s="381" t="s">
        <v>2378</v>
      </c>
      <c r="C1493" s="382" t="s">
        <v>711</v>
      </c>
      <c r="D1493" s="383" t="str">
        <f>COMPOSIÇÕES!B85</f>
        <v>FDE - 07/2023 + SINAPI SP - 08/2023</v>
      </c>
      <c r="E1493" s="344" t="s">
        <v>737</v>
      </c>
      <c r="F1493" s="382" t="s">
        <v>431</v>
      </c>
      <c r="G1493" s="316">
        <v>3</v>
      </c>
      <c r="H1493" s="290">
        <f>SUM(COMPOSIÇÕES!G86:G88)</f>
        <v>187.64000000000001</v>
      </c>
      <c r="I1493" s="287">
        <f>COMPOSIÇÕES!$J$85</f>
        <v>224.22980000000001</v>
      </c>
      <c r="J1493" s="384">
        <f t="shared" si="201"/>
        <v>672.68939999999998</v>
      </c>
    </row>
    <row r="1494" spans="1:10" s="276" customFormat="1">
      <c r="A1494" s="263"/>
      <c r="B1494" s="381" t="s">
        <v>2379</v>
      </c>
      <c r="C1494" s="382" t="s">
        <v>735</v>
      </c>
      <c r="D1494" s="383" t="str">
        <f>COMPOSIÇÕES!B89</f>
        <v>FDE - 07/2023</v>
      </c>
      <c r="E1494" s="344" t="s">
        <v>736</v>
      </c>
      <c r="F1494" s="382" t="s">
        <v>431</v>
      </c>
      <c r="G1494" s="316">
        <v>210</v>
      </c>
      <c r="H1494" s="530">
        <f>VLOOKUP(C1494,COMPOSIÇÕES!A:J,6,FALSE)</f>
        <v>7.8158995815899575</v>
      </c>
      <c r="I1494" s="287">
        <f>COMPOSIÇÕES!$J$89</f>
        <v>9.34</v>
      </c>
      <c r="J1494" s="384">
        <f t="shared" si="201"/>
        <v>1961.3999999999999</v>
      </c>
    </row>
    <row r="1495" spans="1:10" s="276" customFormat="1" ht="28.8">
      <c r="A1495" s="263"/>
      <c r="B1495" s="381" t="s">
        <v>2380</v>
      </c>
      <c r="C1495" s="383" t="str">
        <f>COMPOSIÇÕES!A91</f>
        <v>38.21.920</v>
      </c>
      <c r="D1495" s="383" t="str">
        <f>COMPOSIÇÕES!B91</f>
        <v>CDHU - BOLETIM 191</v>
      </c>
      <c r="E1495" s="344" t="str">
        <f>COMPOSIÇÕES!C91</f>
        <v>Eletrocalha perfurada galvanizada a fogo, 100 x 50 mm, com acessórios</v>
      </c>
      <c r="F1495" s="382" t="s">
        <v>412</v>
      </c>
      <c r="G1495" s="316">
        <f>45*3</f>
        <v>135</v>
      </c>
      <c r="H1495" s="530">
        <f>VLOOKUP(C1495,COMPOSIÇÕES!A:J,6,FALSE)</f>
        <v>98.38</v>
      </c>
      <c r="I1495" s="287">
        <f>COMPOSIÇÕES!$J$91</f>
        <v>117.5641</v>
      </c>
      <c r="J1495" s="384">
        <f t="shared" si="201"/>
        <v>15871.1535</v>
      </c>
    </row>
    <row r="1496" spans="1:10" s="276" customFormat="1" ht="28.8">
      <c r="A1496" s="263"/>
      <c r="B1496" s="381" t="s">
        <v>2381</v>
      </c>
      <c r="C1496" s="383" t="str">
        <f>COMPOSIÇÕES!A92</f>
        <v>38.06.040</v>
      </c>
      <c r="D1496" s="383" t="str">
        <f>COMPOSIÇÕES!B92</f>
        <v>CDHU - BOLETIM 191</v>
      </c>
      <c r="E1496" s="344" t="str">
        <f>COMPOSIÇÕES!C92</f>
        <v>Eletroduto galvanizado a quente conforme NBR5598 ‐ 3/4´ com acessórios</v>
      </c>
      <c r="F1496" s="382" t="s">
        <v>412</v>
      </c>
      <c r="G1496" s="316">
        <f>53*3</f>
        <v>159</v>
      </c>
      <c r="H1496" s="530">
        <f>VLOOKUP(C1496,COMPOSIÇÕES!A:J,6,FALSE)</f>
        <v>60.65</v>
      </c>
      <c r="I1496" s="287">
        <f>COMPOSIÇÕES!$J$92</f>
        <v>72.476749999999996</v>
      </c>
      <c r="J1496" s="384">
        <f t="shared" si="201"/>
        <v>11523.803249999999</v>
      </c>
    </row>
    <row r="1497" spans="1:10" s="276" customFormat="1" ht="28.8">
      <c r="A1497" s="263"/>
      <c r="B1497" s="381" t="s">
        <v>2382</v>
      </c>
      <c r="C1497" s="383" t="str">
        <f>COMPOSIÇÕES!A142</f>
        <v>38.06.100</v>
      </c>
      <c r="D1497" s="383" t="str">
        <f>COMPOSIÇÕES!B142</f>
        <v>CDHU - BOLETIM 191</v>
      </c>
      <c r="E1497" s="344" t="str">
        <f>COMPOSIÇÕES!C142</f>
        <v>Eletroduto galvanizado a quente conforme NBR5598 ‐ 1 1/2´ com
acessórios</v>
      </c>
      <c r="F1497" s="382" t="s">
        <v>412</v>
      </c>
      <c r="G1497" s="316">
        <f>8*3</f>
        <v>24</v>
      </c>
      <c r="H1497" s="530">
        <f>VLOOKUP(C1497,COMPOSIÇÕES!A:J,6,FALSE)</f>
        <v>111.35</v>
      </c>
      <c r="I1497" s="287">
        <f>COMPOSIÇÕES!$J$142</f>
        <v>133.06324999999998</v>
      </c>
      <c r="J1497" s="384">
        <f t="shared" si="201"/>
        <v>3193.5179999999996</v>
      </c>
    </row>
    <row r="1498" spans="1:10" s="276" customFormat="1" ht="28.8">
      <c r="A1498" s="263"/>
      <c r="B1498" s="381" t="s">
        <v>2383</v>
      </c>
      <c r="C1498" s="383" t="str">
        <f>COMPOSIÇÕES!A94</f>
        <v>38.06.180</v>
      </c>
      <c r="D1498" s="383" t="str">
        <f>COMPOSIÇÕES!B94</f>
        <v>CDHU - BOLETIM 191</v>
      </c>
      <c r="E1498" s="344" t="s">
        <v>734</v>
      </c>
      <c r="F1498" s="382" t="s">
        <v>412</v>
      </c>
      <c r="G1498" s="316">
        <v>4</v>
      </c>
      <c r="H1498" s="530">
        <f>VLOOKUP(C1498,COMPOSIÇÕES!A:J,6,FALSE)</f>
        <v>305.01</v>
      </c>
      <c r="I1498" s="287">
        <f>COMPOSIÇÕES!$J$94</f>
        <v>364.48694999999998</v>
      </c>
      <c r="J1498" s="384">
        <f t="shared" si="201"/>
        <v>1457.9477999999999</v>
      </c>
    </row>
    <row r="1499" spans="1:10" s="276" customFormat="1">
      <c r="A1499" s="263"/>
      <c r="B1499" s="381" t="s">
        <v>2384</v>
      </c>
      <c r="C1499" s="382" t="s">
        <v>729</v>
      </c>
      <c r="D1499" s="383" t="s">
        <v>2474</v>
      </c>
      <c r="E1499" s="344" t="s">
        <v>730</v>
      </c>
      <c r="F1499" s="382" t="s">
        <v>412</v>
      </c>
      <c r="G1499" s="316">
        <v>1</v>
      </c>
      <c r="H1499" s="530">
        <f>VLOOKUP(C1499,COMPOSIÇÕES!A:J,6,FALSE)</f>
        <v>50.77</v>
      </c>
      <c r="I1499" s="287">
        <f>COMPOSIÇÕES!$J$95</f>
        <v>60.670150000000007</v>
      </c>
      <c r="J1499" s="384">
        <f t="shared" si="201"/>
        <v>60.670150000000007</v>
      </c>
    </row>
    <row r="1500" spans="1:10" s="276" customFormat="1" ht="28.8">
      <c r="A1500" s="263"/>
      <c r="B1500" s="381" t="s">
        <v>2385</v>
      </c>
      <c r="C1500" s="382">
        <v>91927</v>
      </c>
      <c r="D1500" s="383" t="str">
        <f>COMPOSIÇÕES!B97</f>
        <v>SINAPI SP - 08/2023</v>
      </c>
      <c r="E1500" s="344" t="s">
        <v>770</v>
      </c>
      <c r="F1500" s="382" t="s">
        <v>412</v>
      </c>
      <c r="G1500" s="316">
        <v>900</v>
      </c>
      <c r="H1500" s="530">
        <f>VLOOKUP(C1500,COMPOSIÇÕES!A:J,6,FALSE)</f>
        <v>4.8</v>
      </c>
      <c r="I1500" s="287">
        <f>COMPOSIÇÕES!$J$96</f>
        <v>5.7359999999999998</v>
      </c>
      <c r="J1500" s="384">
        <f t="shared" si="201"/>
        <v>5162.3999999999996</v>
      </c>
    </row>
    <row r="1501" spans="1:10" s="276" customFormat="1" ht="28.8">
      <c r="A1501" s="263"/>
      <c r="B1501" s="381" t="s">
        <v>2386</v>
      </c>
      <c r="C1501" s="382">
        <v>91927</v>
      </c>
      <c r="D1501" s="383" t="str">
        <f t="shared" ref="D1501:D1503" si="202">$D$1500</f>
        <v>SINAPI SP - 08/2023</v>
      </c>
      <c r="E1501" s="344" t="s">
        <v>771</v>
      </c>
      <c r="F1501" s="382" t="s">
        <v>412</v>
      </c>
      <c r="G1501" s="316">
        <v>875</v>
      </c>
      <c r="H1501" s="530">
        <f>VLOOKUP(C1501,COMPOSIÇÕES!A:J,6,FALSE)</f>
        <v>4.8</v>
      </c>
      <c r="I1501" s="287">
        <f>COMPOSIÇÕES!$J$96</f>
        <v>5.7359999999999998</v>
      </c>
      <c r="J1501" s="384">
        <f t="shared" si="201"/>
        <v>5019</v>
      </c>
    </row>
    <row r="1502" spans="1:10" s="276" customFormat="1" ht="28.8">
      <c r="A1502" s="263"/>
      <c r="B1502" s="381" t="s">
        <v>2387</v>
      </c>
      <c r="C1502" s="382">
        <v>91927</v>
      </c>
      <c r="D1502" s="383" t="str">
        <f t="shared" si="202"/>
        <v>SINAPI SP - 08/2023</v>
      </c>
      <c r="E1502" s="344" t="s">
        <v>772</v>
      </c>
      <c r="F1502" s="382" t="s">
        <v>412</v>
      </c>
      <c r="G1502" s="316">
        <v>875</v>
      </c>
      <c r="H1502" s="530">
        <f>VLOOKUP(C1502,COMPOSIÇÕES!A:J,6,FALSE)</f>
        <v>4.8</v>
      </c>
      <c r="I1502" s="287">
        <f>COMPOSIÇÕES!$J$96</f>
        <v>5.7359999999999998</v>
      </c>
      <c r="J1502" s="384">
        <f t="shared" si="201"/>
        <v>5019</v>
      </c>
    </row>
    <row r="1503" spans="1:10" s="276" customFormat="1" ht="28.8">
      <c r="A1503" s="263"/>
      <c r="B1503" s="381" t="s">
        <v>2388</v>
      </c>
      <c r="C1503" s="382">
        <v>91927</v>
      </c>
      <c r="D1503" s="383" t="str">
        <f t="shared" si="202"/>
        <v>SINAPI SP - 08/2023</v>
      </c>
      <c r="E1503" s="344" t="s">
        <v>773</v>
      </c>
      <c r="F1503" s="382" t="s">
        <v>412</v>
      </c>
      <c r="G1503" s="316">
        <v>500</v>
      </c>
      <c r="H1503" s="530">
        <f>VLOOKUP(C1503,COMPOSIÇÕES!A:J,6,FALSE)</f>
        <v>4.8</v>
      </c>
      <c r="I1503" s="287">
        <f>COMPOSIÇÕES!$J$96</f>
        <v>5.7359999999999998</v>
      </c>
      <c r="J1503" s="384">
        <f t="shared" si="201"/>
        <v>2868</v>
      </c>
    </row>
    <row r="1504" spans="1:10" s="276" customFormat="1" ht="28.8">
      <c r="A1504" s="263"/>
      <c r="B1504" s="381" t="s">
        <v>2389</v>
      </c>
      <c r="C1504" s="382">
        <v>92990</v>
      </c>
      <c r="D1504" s="383" t="str">
        <f>COMPOSIÇÕES!B165</f>
        <v>SINAPI SP - 08/2023</v>
      </c>
      <c r="E1504" s="344" t="s">
        <v>858</v>
      </c>
      <c r="F1504" s="382" t="s">
        <v>412</v>
      </c>
      <c r="G1504" s="316">
        <v>25</v>
      </c>
      <c r="H1504" s="530">
        <f>VLOOKUP(C1504,COMPOSIÇÕES!A:J,6,FALSE)</f>
        <v>63.26</v>
      </c>
      <c r="I1504" s="287">
        <f>COMPOSIÇÕES!$J$165</f>
        <v>75.595699999999994</v>
      </c>
      <c r="J1504" s="384">
        <f t="shared" si="201"/>
        <v>1889.8924999999999</v>
      </c>
    </row>
    <row r="1505" spans="1:12" s="276" customFormat="1" ht="28.8">
      <c r="A1505" s="263"/>
      <c r="B1505" s="381" t="s">
        <v>2390</v>
      </c>
      <c r="C1505" s="382">
        <v>92994</v>
      </c>
      <c r="D1505" s="383" t="str">
        <f>COMPOSIÇÕES!B143</f>
        <v>SINAPI SP - 08/2023</v>
      </c>
      <c r="E1505" s="344" t="s">
        <v>837</v>
      </c>
      <c r="F1505" s="382" t="s">
        <v>412</v>
      </c>
      <c r="G1505" s="316">
        <v>25</v>
      </c>
      <c r="H1505" s="530">
        <f>VLOOKUP(C1505,COMPOSIÇÕES!A:J,6,FALSE)</f>
        <v>105.42</v>
      </c>
      <c r="I1505" s="287">
        <f>COMPOSIÇÕES!$J$143</f>
        <v>125.9769</v>
      </c>
      <c r="J1505" s="384">
        <f t="shared" si="201"/>
        <v>3149.4225000000001</v>
      </c>
    </row>
    <row r="1506" spans="1:12" s="276" customFormat="1" ht="28.8">
      <c r="A1506" s="263"/>
      <c r="B1506" s="381" t="s">
        <v>2391</v>
      </c>
      <c r="C1506" s="382">
        <v>92994</v>
      </c>
      <c r="D1506" s="383" t="str">
        <f t="shared" ref="D1506:D1508" si="203">$D$1505</f>
        <v>SINAPI SP - 08/2023</v>
      </c>
      <c r="E1506" s="344" t="s">
        <v>838</v>
      </c>
      <c r="F1506" s="382" t="s">
        <v>412</v>
      </c>
      <c r="G1506" s="316">
        <v>25</v>
      </c>
      <c r="H1506" s="530">
        <f>VLOOKUP(C1506,COMPOSIÇÕES!A:J,6,FALSE)</f>
        <v>105.42</v>
      </c>
      <c r="I1506" s="287">
        <f>COMPOSIÇÕES!$J$143</f>
        <v>125.9769</v>
      </c>
      <c r="J1506" s="384">
        <f t="shared" si="201"/>
        <v>3149.4225000000001</v>
      </c>
    </row>
    <row r="1507" spans="1:12" s="276" customFormat="1" ht="28.8">
      <c r="A1507" s="263"/>
      <c r="B1507" s="381" t="s">
        <v>2392</v>
      </c>
      <c r="C1507" s="382">
        <v>92994</v>
      </c>
      <c r="D1507" s="383" t="str">
        <f t="shared" si="203"/>
        <v>SINAPI SP - 08/2023</v>
      </c>
      <c r="E1507" s="344" t="s">
        <v>839</v>
      </c>
      <c r="F1507" s="382" t="s">
        <v>412</v>
      </c>
      <c r="G1507" s="316">
        <v>25</v>
      </c>
      <c r="H1507" s="530">
        <f>VLOOKUP(C1507,COMPOSIÇÕES!A:J,6,FALSE)</f>
        <v>105.42</v>
      </c>
      <c r="I1507" s="287">
        <f>COMPOSIÇÕES!$J$143</f>
        <v>125.9769</v>
      </c>
      <c r="J1507" s="384">
        <f t="shared" si="201"/>
        <v>3149.4225000000001</v>
      </c>
    </row>
    <row r="1508" spans="1:12" s="276" customFormat="1" ht="28.8">
      <c r="A1508" s="263"/>
      <c r="B1508" s="381" t="s">
        <v>2393</v>
      </c>
      <c r="C1508" s="382">
        <v>92994</v>
      </c>
      <c r="D1508" s="383" t="str">
        <f t="shared" si="203"/>
        <v>SINAPI SP - 08/2023</v>
      </c>
      <c r="E1508" s="344" t="s">
        <v>840</v>
      </c>
      <c r="F1508" s="382" t="s">
        <v>412</v>
      </c>
      <c r="G1508" s="316">
        <v>25</v>
      </c>
      <c r="H1508" s="530">
        <f>VLOOKUP(C1508,COMPOSIÇÕES!A:J,6,FALSE)</f>
        <v>105.42</v>
      </c>
      <c r="I1508" s="287">
        <f>COMPOSIÇÕES!$J$143</f>
        <v>125.9769</v>
      </c>
      <c r="J1508" s="384">
        <f t="shared" si="201"/>
        <v>3149.4225000000001</v>
      </c>
    </row>
    <row r="1509" spans="1:12" s="276" customFormat="1">
      <c r="A1509" s="263"/>
      <c r="B1509" s="381" t="s">
        <v>2394</v>
      </c>
      <c r="C1509" s="382" t="s">
        <v>711</v>
      </c>
      <c r="D1509" s="383" t="str">
        <f>COMPOSIÇÕES!B144</f>
        <v>FDE - 07/2023</v>
      </c>
      <c r="E1509" s="344" t="s">
        <v>871</v>
      </c>
      <c r="F1509" s="382" t="s">
        <v>431</v>
      </c>
      <c r="G1509" s="316">
        <v>12</v>
      </c>
      <c r="H1509" s="530">
        <f>COMPOSIÇÕES!F144</f>
        <v>28.62</v>
      </c>
      <c r="I1509" s="287">
        <f>COMPOSIÇÕES!$J$144</f>
        <v>34.200900000000004</v>
      </c>
      <c r="J1509" s="384">
        <f t="shared" si="201"/>
        <v>410.41080000000005</v>
      </c>
    </row>
    <row r="1510" spans="1:12" s="276" customFormat="1">
      <c r="A1510" s="263"/>
      <c r="B1510" s="381" t="s">
        <v>2395</v>
      </c>
      <c r="C1510" s="382" t="s">
        <v>711</v>
      </c>
      <c r="D1510" s="383" t="str">
        <f>COMPOSIÇÕES!B166</f>
        <v>FDE - 07/2023</v>
      </c>
      <c r="E1510" s="344" t="s">
        <v>872</v>
      </c>
      <c r="F1510" s="382" t="s">
        <v>431</v>
      </c>
      <c r="G1510" s="316">
        <v>4</v>
      </c>
      <c r="H1510" s="530">
        <f>COMPOSIÇÕES!F166</f>
        <v>47.32</v>
      </c>
      <c r="I1510" s="287">
        <f>COMPOSIÇÕES!$J$166</f>
        <v>56.547400000000003</v>
      </c>
      <c r="J1510" s="384">
        <f t="shared" si="201"/>
        <v>226.18960000000001</v>
      </c>
    </row>
    <row r="1511" spans="1:12" s="276" customFormat="1">
      <c r="A1511" s="263"/>
      <c r="B1511" s="381" t="s">
        <v>2396</v>
      </c>
      <c r="C1511" s="382" t="s">
        <v>711</v>
      </c>
      <c r="D1511" s="383" t="str">
        <f>COMPOSIÇÕES!B145</f>
        <v>FDE - 07/2023</v>
      </c>
      <c r="E1511" s="344" t="s">
        <v>870</v>
      </c>
      <c r="F1511" s="382" t="s">
        <v>431</v>
      </c>
      <c r="G1511" s="316">
        <v>12</v>
      </c>
      <c r="H1511" s="530">
        <f>COMPOSIÇÕES!F145</f>
        <v>56.55</v>
      </c>
      <c r="I1511" s="287">
        <f>COMPOSIÇÕES!$J$145</f>
        <v>67.577249999999992</v>
      </c>
      <c r="J1511" s="384">
        <f t="shared" si="201"/>
        <v>810.92699999999991</v>
      </c>
    </row>
    <row r="1512" spans="1:12" s="263" customFormat="1" ht="72">
      <c r="B1512" s="381" t="s">
        <v>2397</v>
      </c>
      <c r="C1512" s="275" t="s">
        <v>711</v>
      </c>
      <c r="D1512" s="277" t="s">
        <v>2476</v>
      </c>
      <c r="E1512" s="278" t="s">
        <v>1020</v>
      </c>
      <c r="F1512" s="275" t="s">
        <v>431</v>
      </c>
      <c r="G1512" s="313">
        <v>1</v>
      </c>
      <c r="H1512" s="301">
        <f>SUM(COMPOSIÇÕES!G342:G348)</f>
        <v>6463.1162744769872</v>
      </c>
      <c r="I1512" s="286">
        <f>COMPOSIÇÕES!$J$341</f>
        <v>7723.4239479999997</v>
      </c>
      <c r="J1512" s="295">
        <f t="shared" si="201"/>
        <v>7723.4239479999997</v>
      </c>
    </row>
    <row r="1513" spans="1:12" s="263" customFormat="1">
      <c r="B1513" s="579" t="s">
        <v>2402</v>
      </c>
      <c r="C1513" s="580"/>
      <c r="D1513" s="580"/>
      <c r="E1513" s="580"/>
      <c r="F1513" s="580"/>
      <c r="G1513" s="580"/>
      <c r="H1513" s="580"/>
      <c r="I1513" s="581"/>
      <c r="J1513" s="296">
        <f>SUM(J1485:J1512)</f>
        <v>84017.201955886165</v>
      </c>
    </row>
    <row r="1514" spans="1:12" s="263" customFormat="1">
      <c r="B1514" s="237" t="s">
        <v>2398</v>
      </c>
      <c r="C1514" s="238"/>
      <c r="D1514" s="533"/>
      <c r="E1514" s="239" t="s">
        <v>650</v>
      </c>
      <c r="F1514" s="238"/>
      <c r="G1514" s="312"/>
      <c r="H1514" s="300"/>
      <c r="I1514" s="285"/>
      <c r="J1514" s="294"/>
    </row>
    <row r="1515" spans="1:12" s="276" customFormat="1">
      <c r="A1515" s="263"/>
      <c r="B1515" s="381" t="s">
        <v>2399</v>
      </c>
      <c r="C1515" s="382" t="s">
        <v>708</v>
      </c>
      <c r="D1515" s="383" t="str">
        <f>COMPOSIÇÕES!B115</f>
        <v>FDE - 07/2023</v>
      </c>
      <c r="E1515" s="344" t="s">
        <v>651</v>
      </c>
      <c r="F1515" s="382" t="s">
        <v>541</v>
      </c>
      <c r="G1515" s="316">
        <v>100</v>
      </c>
      <c r="H1515" s="290">
        <f>COMPOSIÇÕES!$G$116</f>
        <v>5.116260162601626</v>
      </c>
      <c r="I1515" s="287">
        <f>COMPOSIÇÕES!$J$115</f>
        <v>6.1139308943089432</v>
      </c>
      <c r="J1515" s="384">
        <f>G1515*I1515</f>
        <v>611.39308943089429</v>
      </c>
    </row>
    <row r="1516" spans="1:12" s="263" customFormat="1">
      <c r="B1516" s="579" t="s">
        <v>2403</v>
      </c>
      <c r="C1516" s="580"/>
      <c r="D1516" s="580"/>
      <c r="E1516" s="580"/>
      <c r="F1516" s="580"/>
      <c r="G1516" s="580"/>
      <c r="H1516" s="580"/>
      <c r="I1516" s="581"/>
      <c r="J1516" s="296">
        <f>J1515</f>
        <v>611.39308943089429</v>
      </c>
    </row>
    <row r="1517" spans="1:12" customFormat="1" ht="25.5" customHeight="1" thickBot="1">
      <c r="A1517" s="263"/>
      <c r="B1517" s="564" t="s">
        <v>696</v>
      </c>
      <c r="C1517" s="565"/>
      <c r="D1517" s="565"/>
      <c r="E1517" s="565"/>
      <c r="F1517" s="565"/>
      <c r="G1517" s="565"/>
      <c r="H1517" s="565"/>
      <c r="I1517" s="566"/>
      <c r="J1517" s="297">
        <f>J1461+J1483+J1513+J1516</f>
        <v>184046.51378214333</v>
      </c>
      <c r="K1517" s="263"/>
      <c r="L1517" s="263"/>
    </row>
    <row r="1518" spans="1:12" s="336" customFormat="1">
      <c r="A1518" s="267"/>
      <c r="B1518" s="268"/>
      <c r="C1518" s="268"/>
      <c r="D1518" s="367"/>
      <c r="E1518" s="269"/>
      <c r="F1518" s="268"/>
      <c r="G1518" s="319"/>
      <c r="H1518" s="302"/>
      <c r="I1518" s="288"/>
      <c r="J1518" s="288"/>
    </row>
    <row r="1519" spans="1:12" s="336" customFormat="1" ht="18" thickBot="1">
      <c r="A1519" s="267"/>
      <c r="B1519" s="564" t="s">
        <v>2466</v>
      </c>
      <c r="C1519" s="565"/>
      <c r="D1519" s="565"/>
      <c r="E1519" s="565"/>
      <c r="F1519" s="565"/>
      <c r="G1519" s="565"/>
      <c r="H1519" s="565"/>
      <c r="I1519" s="566"/>
      <c r="J1519" s="297">
        <f>J1517+J1455+J1396+J1340+J1284+J1221+J1152+J1090+J1023+J954+J898+J831+J761+J698+J638+J586+J519+J476+J425+J364+J294+J231+J150+J80</f>
        <v>4486360.5608888594</v>
      </c>
    </row>
    <row r="1520" spans="1:12" s="336" customFormat="1">
      <c r="A1520" s="267"/>
      <c r="B1520" s="268"/>
      <c r="C1520" s="268"/>
      <c r="D1520" s="367"/>
      <c r="E1520" s="269"/>
      <c r="F1520" s="268"/>
      <c r="G1520" s="319"/>
      <c r="H1520" s="302"/>
      <c r="I1520" s="288"/>
      <c r="J1520" s="288"/>
    </row>
    <row r="1521" spans="1:10" s="336" customFormat="1">
      <c r="A1521" s="267"/>
      <c r="B1521" s="268"/>
      <c r="C1521" s="268"/>
      <c r="D1521" s="367"/>
      <c r="E1521" s="269"/>
      <c r="F1521" s="268"/>
      <c r="G1521" s="319"/>
      <c r="H1521" s="302"/>
      <c r="I1521" s="288"/>
      <c r="J1521" s="288"/>
    </row>
    <row r="1522" spans="1:10" s="336" customFormat="1">
      <c r="A1522" s="267"/>
      <c r="B1522" s="268"/>
      <c r="C1522" s="268"/>
      <c r="D1522" s="367"/>
      <c r="E1522" s="269"/>
      <c r="F1522" s="268"/>
      <c r="G1522" s="319"/>
      <c r="H1522" s="302"/>
      <c r="I1522" s="288"/>
      <c r="J1522" s="288"/>
    </row>
    <row r="1523" spans="1:10" s="336" customFormat="1">
      <c r="A1523" s="267"/>
      <c r="B1523" s="268"/>
      <c r="C1523" s="268"/>
      <c r="D1523" s="367"/>
      <c r="E1523" s="269"/>
      <c r="F1523" s="268"/>
      <c r="G1523" s="319"/>
      <c r="H1523" s="302"/>
      <c r="I1523" s="288"/>
      <c r="J1523" s="288"/>
    </row>
    <row r="1524" spans="1:10" s="336" customFormat="1">
      <c r="A1524" s="267"/>
      <c r="B1524" s="268"/>
      <c r="C1524" s="268"/>
      <c r="D1524" s="367"/>
      <c r="E1524" s="269"/>
      <c r="F1524" s="268"/>
      <c r="G1524" s="319"/>
      <c r="H1524" s="302"/>
      <c r="I1524" s="288"/>
      <c r="J1524" s="288"/>
    </row>
    <row r="1525" spans="1:10" s="336" customFormat="1">
      <c r="A1525" s="267"/>
      <c r="B1525" s="268"/>
      <c r="C1525" s="268"/>
      <c r="D1525" s="367"/>
      <c r="E1525" s="269"/>
      <c r="F1525" s="268"/>
      <c r="G1525" s="319"/>
      <c r="H1525" s="302"/>
      <c r="I1525" s="288"/>
      <c r="J1525" s="288"/>
    </row>
    <row r="1526" spans="1:10" s="336" customFormat="1">
      <c r="A1526" s="267"/>
      <c r="B1526" s="268"/>
      <c r="C1526" s="268"/>
      <c r="D1526" s="367"/>
      <c r="E1526" s="269"/>
      <c r="F1526" s="268"/>
      <c r="G1526" s="319"/>
      <c r="H1526" s="302"/>
      <c r="I1526" s="288"/>
      <c r="J1526" s="288"/>
    </row>
    <row r="1527" spans="1:10" s="336" customFormat="1">
      <c r="A1527" s="267"/>
      <c r="B1527" s="268"/>
      <c r="C1527" s="268"/>
      <c r="D1527" s="367"/>
      <c r="E1527" s="269"/>
      <c r="F1527" s="268"/>
      <c r="G1527" s="319"/>
      <c r="H1527" s="302"/>
      <c r="I1527" s="288"/>
      <c r="J1527" s="288"/>
    </row>
    <row r="1528" spans="1:10" s="336" customFormat="1">
      <c r="A1528" s="267"/>
      <c r="B1528" s="268"/>
      <c r="C1528" s="268"/>
      <c r="D1528" s="367"/>
      <c r="E1528" s="269"/>
      <c r="F1528" s="268"/>
      <c r="G1528" s="319"/>
      <c r="H1528" s="302"/>
      <c r="I1528" s="288"/>
      <c r="J1528" s="288"/>
    </row>
    <row r="1529" spans="1:10" s="336" customFormat="1">
      <c r="A1529" s="267"/>
      <c r="B1529" s="268"/>
      <c r="C1529" s="268"/>
      <c r="D1529" s="367"/>
      <c r="E1529" s="269"/>
      <c r="F1529" s="268"/>
      <c r="G1529" s="319"/>
      <c r="H1529" s="302"/>
      <c r="I1529" s="288"/>
      <c r="J1529" s="288"/>
    </row>
    <row r="1530" spans="1:10" s="336" customFormat="1">
      <c r="A1530" s="267"/>
      <c r="B1530" s="268"/>
      <c r="C1530" s="268"/>
      <c r="D1530" s="367"/>
      <c r="E1530" s="269"/>
      <c r="F1530" s="268"/>
      <c r="G1530" s="319"/>
      <c r="H1530" s="302"/>
      <c r="I1530" s="288"/>
      <c r="J1530" s="288"/>
    </row>
    <row r="1531" spans="1:10" s="336" customFormat="1">
      <c r="A1531" s="267"/>
      <c r="B1531" s="268"/>
      <c r="C1531" s="268"/>
      <c r="D1531" s="367"/>
      <c r="E1531" s="269"/>
      <c r="F1531" s="268"/>
      <c r="G1531" s="319"/>
      <c r="H1531" s="302"/>
      <c r="I1531" s="288"/>
      <c r="J1531" s="288"/>
    </row>
    <row r="1532" spans="1:10" s="336" customFormat="1">
      <c r="A1532" s="267"/>
      <c r="B1532" s="268"/>
      <c r="C1532" s="268"/>
      <c r="D1532" s="367"/>
      <c r="E1532" s="269"/>
      <c r="F1532" s="268"/>
      <c r="G1532" s="319"/>
      <c r="H1532" s="302"/>
      <c r="I1532" s="288"/>
      <c r="J1532" s="288"/>
    </row>
    <row r="1533" spans="1:10" s="336" customFormat="1">
      <c r="A1533" s="267"/>
      <c r="B1533" s="268"/>
      <c r="C1533" s="268"/>
      <c r="D1533" s="367"/>
      <c r="E1533" s="269"/>
      <c r="F1533" s="268"/>
      <c r="G1533" s="319"/>
      <c r="H1533" s="302"/>
      <c r="I1533" s="288"/>
      <c r="J1533" s="288"/>
    </row>
    <row r="1534" spans="1:10" s="336" customFormat="1">
      <c r="A1534" s="267"/>
      <c r="B1534" s="268"/>
      <c r="C1534" s="268"/>
      <c r="D1534" s="367"/>
      <c r="E1534" s="269"/>
      <c r="F1534" s="268"/>
      <c r="G1534" s="319"/>
      <c r="H1534" s="302"/>
      <c r="I1534" s="288"/>
      <c r="J1534" s="288"/>
    </row>
    <row r="1535" spans="1:10" s="336" customFormat="1">
      <c r="A1535" s="267"/>
      <c r="B1535" s="268"/>
      <c r="C1535" s="268"/>
      <c r="D1535" s="367"/>
      <c r="E1535" s="269"/>
      <c r="F1535" s="268"/>
      <c r="G1535" s="319"/>
      <c r="H1535" s="302"/>
      <c r="I1535" s="288"/>
      <c r="J1535" s="288"/>
    </row>
    <row r="1536" spans="1:10" s="336" customFormat="1">
      <c r="A1536" s="267"/>
      <c r="B1536" s="268"/>
      <c r="C1536" s="268"/>
      <c r="D1536" s="367"/>
      <c r="E1536" s="269"/>
      <c r="F1536" s="268"/>
      <c r="G1536" s="319"/>
      <c r="H1536" s="302"/>
      <c r="I1536" s="288"/>
      <c r="J1536" s="288"/>
    </row>
    <row r="1537" spans="1:10" s="336" customFormat="1">
      <c r="A1537" s="267"/>
      <c r="B1537" s="268"/>
      <c r="C1537" s="268"/>
      <c r="D1537" s="367"/>
      <c r="E1537" s="269"/>
      <c r="F1537" s="268"/>
      <c r="G1537" s="319"/>
      <c r="H1537" s="302"/>
      <c r="I1537" s="288"/>
      <c r="J1537" s="288"/>
    </row>
    <row r="1538" spans="1:10" s="336" customFormat="1">
      <c r="A1538" s="267"/>
      <c r="B1538" s="268"/>
      <c r="C1538" s="268"/>
      <c r="D1538" s="367"/>
      <c r="E1538" s="269"/>
      <c r="F1538" s="268"/>
      <c r="G1538" s="319"/>
      <c r="H1538" s="302"/>
      <c r="I1538" s="288"/>
      <c r="J1538" s="288"/>
    </row>
    <row r="1539" spans="1:10" s="336" customFormat="1">
      <c r="A1539" s="267"/>
      <c r="B1539" s="268"/>
      <c r="C1539" s="268"/>
      <c r="D1539" s="367"/>
      <c r="E1539" s="269"/>
      <c r="F1539" s="268"/>
      <c r="G1539" s="319"/>
      <c r="H1539" s="302"/>
      <c r="I1539" s="288"/>
      <c r="J1539" s="288"/>
    </row>
    <row r="1540" spans="1:10" s="336" customFormat="1">
      <c r="A1540" s="267"/>
      <c r="B1540" s="268"/>
      <c r="C1540" s="268"/>
      <c r="D1540" s="367"/>
      <c r="E1540" s="269"/>
      <c r="F1540" s="268"/>
      <c r="G1540" s="319"/>
      <c r="H1540" s="302"/>
      <c r="I1540" s="288"/>
      <c r="J1540" s="288"/>
    </row>
    <row r="1541" spans="1:10" s="336" customFormat="1">
      <c r="A1541" s="267"/>
      <c r="B1541" s="268"/>
      <c r="C1541" s="268"/>
      <c r="D1541" s="367"/>
      <c r="E1541" s="269"/>
      <c r="F1541" s="268"/>
      <c r="G1541" s="319"/>
      <c r="H1541" s="302"/>
      <c r="I1541" s="288"/>
      <c r="J1541" s="288"/>
    </row>
    <row r="1542" spans="1:10" s="336" customFormat="1">
      <c r="A1542" s="267"/>
      <c r="B1542" s="268"/>
      <c r="C1542" s="268"/>
      <c r="D1542" s="367"/>
      <c r="E1542" s="269"/>
      <c r="F1542" s="268"/>
      <c r="G1542" s="319"/>
      <c r="H1542" s="302"/>
      <c r="I1542" s="288"/>
      <c r="J1542" s="288"/>
    </row>
    <row r="1543" spans="1:10" s="336" customFormat="1">
      <c r="A1543" s="267"/>
      <c r="B1543" s="268"/>
      <c r="C1543" s="268"/>
      <c r="D1543" s="367"/>
      <c r="E1543" s="269"/>
      <c r="F1543" s="268"/>
      <c r="G1543" s="319"/>
      <c r="H1543" s="302"/>
      <c r="I1543" s="288"/>
      <c r="J1543" s="288"/>
    </row>
    <row r="1544" spans="1:10" s="336" customFormat="1">
      <c r="A1544" s="267"/>
      <c r="B1544" s="268"/>
      <c r="C1544" s="268"/>
      <c r="D1544" s="367"/>
      <c r="E1544" s="269"/>
      <c r="F1544" s="268"/>
      <c r="G1544" s="319"/>
      <c r="H1544" s="302"/>
      <c r="I1544" s="288"/>
      <c r="J1544" s="288"/>
    </row>
    <row r="1545" spans="1:10" s="336" customFormat="1">
      <c r="A1545" s="267"/>
      <c r="B1545" s="268"/>
      <c r="C1545" s="268"/>
      <c r="D1545" s="367"/>
      <c r="E1545" s="269"/>
      <c r="F1545" s="268"/>
      <c r="G1545" s="319"/>
      <c r="H1545" s="302"/>
      <c r="I1545" s="288"/>
      <c r="J1545" s="288"/>
    </row>
    <row r="1546" spans="1:10" s="336" customFormat="1">
      <c r="A1546" s="267"/>
      <c r="B1546" s="268"/>
      <c r="C1546" s="268"/>
      <c r="D1546" s="367"/>
      <c r="E1546" s="269"/>
      <c r="F1546" s="268"/>
      <c r="G1546" s="319"/>
      <c r="H1546" s="302"/>
      <c r="I1546" s="288"/>
      <c r="J1546" s="288"/>
    </row>
    <row r="1547" spans="1:10" s="336" customFormat="1">
      <c r="A1547" s="267"/>
      <c r="B1547" s="268"/>
      <c r="C1547" s="268"/>
      <c r="D1547" s="367"/>
      <c r="E1547" s="269"/>
      <c r="F1547" s="268"/>
      <c r="G1547" s="319"/>
      <c r="H1547" s="302"/>
      <c r="I1547" s="288"/>
      <c r="J1547" s="288"/>
    </row>
    <row r="1548" spans="1:10" s="336" customFormat="1">
      <c r="A1548" s="267"/>
      <c r="B1548" s="268"/>
      <c r="C1548" s="268"/>
      <c r="D1548" s="367"/>
      <c r="E1548" s="269"/>
      <c r="F1548" s="268"/>
      <c r="G1548" s="319"/>
      <c r="H1548" s="302"/>
      <c r="I1548" s="288"/>
      <c r="J1548" s="288"/>
    </row>
    <row r="1549" spans="1:10" s="336" customFormat="1">
      <c r="A1549" s="267"/>
      <c r="B1549" s="268"/>
      <c r="C1549" s="268"/>
      <c r="D1549" s="367"/>
      <c r="E1549" s="269"/>
      <c r="F1549" s="268"/>
      <c r="G1549" s="319"/>
      <c r="H1549" s="302"/>
      <c r="I1549" s="288"/>
      <c r="J1549" s="288"/>
    </row>
    <row r="1550" spans="1:10" s="336" customFormat="1">
      <c r="A1550" s="267"/>
      <c r="B1550" s="268"/>
      <c r="C1550" s="268"/>
      <c r="D1550" s="367"/>
      <c r="E1550" s="269"/>
      <c r="F1550" s="268"/>
      <c r="G1550" s="319"/>
      <c r="H1550" s="302"/>
      <c r="I1550" s="288"/>
      <c r="J1550" s="288"/>
    </row>
    <row r="1551" spans="1:10" s="336" customFormat="1">
      <c r="A1551" s="267"/>
      <c r="B1551" s="268"/>
      <c r="C1551" s="268"/>
      <c r="D1551" s="367"/>
      <c r="E1551" s="269"/>
      <c r="F1551" s="268"/>
      <c r="G1551" s="319"/>
      <c r="H1551" s="302"/>
      <c r="I1551" s="288"/>
      <c r="J1551" s="288"/>
    </row>
    <row r="1552" spans="1:10" s="336" customFormat="1">
      <c r="A1552" s="267"/>
      <c r="B1552" s="268"/>
      <c r="C1552" s="268"/>
      <c r="D1552" s="367"/>
      <c r="E1552" s="269"/>
      <c r="F1552" s="268"/>
      <c r="G1552" s="319"/>
      <c r="H1552" s="302"/>
      <c r="I1552" s="288"/>
      <c r="J1552" s="288"/>
    </row>
    <row r="1553" spans="1:10" s="336" customFormat="1">
      <c r="A1553" s="267"/>
      <c r="B1553" s="268"/>
      <c r="C1553" s="268"/>
      <c r="D1553" s="367"/>
      <c r="E1553" s="269"/>
      <c r="F1553" s="268"/>
      <c r="G1553" s="319"/>
      <c r="H1553" s="302"/>
      <c r="I1553" s="288"/>
      <c r="J1553" s="288"/>
    </row>
    <row r="1554" spans="1:10" s="336" customFormat="1">
      <c r="A1554" s="267"/>
      <c r="B1554" s="268"/>
      <c r="C1554" s="268"/>
      <c r="D1554" s="367"/>
      <c r="E1554" s="269"/>
      <c r="F1554" s="268"/>
      <c r="G1554" s="319"/>
      <c r="H1554" s="302"/>
      <c r="I1554" s="288"/>
      <c r="J1554" s="288"/>
    </row>
    <row r="1555" spans="1:10" s="336" customFormat="1">
      <c r="A1555" s="267"/>
      <c r="B1555" s="268"/>
      <c r="C1555" s="268"/>
      <c r="D1555" s="367"/>
      <c r="E1555" s="269"/>
      <c r="F1555" s="268"/>
      <c r="G1555" s="319"/>
      <c r="H1555" s="302"/>
      <c r="I1555" s="288"/>
      <c r="J1555" s="288"/>
    </row>
    <row r="1556" spans="1:10" s="336" customFormat="1">
      <c r="A1556" s="267"/>
      <c r="B1556" s="268"/>
      <c r="C1556" s="268"/>
      <c r="D1556" s="367"/>
      <c r="E1556" s="269"/>
      <c r="F1556" s="268"/>
      <c r="G1556" s="319"/>
      <c r="H1556" s="302"/>
      <c r="I1556" s="288"/>
      <c r="J1556" s="288"/>
    </row>
    <row r="1557" spans="1:10" s="336" customFormat="1">
      <c r="A1557" s="267"/>
      <c r="B1557" s="268"/>
      <c r="C1557" s="268"/>
      <c r="D1557" s="367"/>
      <c r="E1557" s="269"/>
      <c r="F1557" s="268"/>
      <c r="G1557" s="319"/>
      <c r="H1557" s="302"/>
      <c r="I1557" s="288"/>
      <c r="J1557" s="288"/>
    </row>
    <row r="1558" spans="1:10" s="336" customFormat="1">
      <c r="A1558" s="267"/>
      <c r="B1558" s="268"/>
      <c r="C1558" s="268"/>
      <c r="D1558" s="367"/>
      <c r="E1558" s="269"/>
      <c r="F1558" s="268"/>
      <c r="G1558" s="319"/>
      <c r="H1558" s="302"/>
      <c r="I1558" s="288"/>
      <c r="J1558" s="288"/>
    </row>
    <row r="1559" spans="1:10" s="336" customFormat="1">
      <c r="A1559" s="267"/>
      <c r="B1559" s="268"/>
      <c r="C1559" s="268"/>
      <c r="D1559" s="367"/>
      <c r="E1559" s="269"/>
      <c r="F1559" s="268"/>
      <c r="G1559" s="319"/>
      <c r="H1559" s="302"/>
      <c r="I1559" s="288"/>
      <c r="J1559" s="288"/>
    </row>
    <row r="1560" spans="1:10" s="336" customFormat="1">
      <c r="A1560" s="267"/>
      <c r="B1560" s="268"/>
      <c r="C1560" s="268"/>
      <c r="D1560" s="367"/>
      <c r="E1560" s="269"/>
      <c r="F1560" s="268"/>
      <c r="G1560" s="319"/>
      <c r="H1560" s="302"/>
      <c r="I1560" s="288"/>
      <c r="J1560" s="288"/>
    </row>
    <row r="1561" spans="1:10" s="336" customFormat="1">
      <c r="A1561" s="267"/>
      <c r="B1561" s="268"/>
      <c r="C1561" s="268"/>
      <c r="D1561" s="367"/>
      <c r="E1561" s="269"/>
      <c r="F1561" s="268"/>
      <c r="G1561" s="319"/>
      <c r="H1561" s="302"/>
      <c r="I1561" s="288"/>
      <c r="J1561" s="288"/>
    </row>
    <row r="1562" spans="1:10" s="336" customFormat="1">
      <c r="A1562" s="267"/>
      <c r="B1562" s="268"/>
      <c r="C1562" s="268"/>
      <c r="D1562" s="367"/>
      <c r="E1562" s="269"/>
      <c r="F1562" s="268"/>
      <c r="G1562" s="319"/>
      <c r="H1562" s="302"/>
      <c r="I1562" s="288"/>
      <c r="J1562" s="288"/>
    </row>
    <row r="1563" spans="1:10" s="336" customFormat="1">
      <c r="A1563" s="267"/>
      <c r="B1563" s="268"/>
      <c r="C1563" s="268"/>
      <c r="D1563" s="367"/>
      <c r="E1563" s="269"/>
      <c r="F1563" s="268"/>
      <c r="G1563" s="319"/>
      <c r="H1563" s="302"/>
      <c r="I1563" s="288"/>
      <c r="J1563" s="288"/>
    </row>
    <row r="1564" spans="1:10" s="336" customFormat="1">
      <c r="A1564" s="267"/>
      <c r="B1564" s="268"/>
      <c r="C1564" s="268"/>
      <c r="D1564" s="367"/>
      <c r="E1564" s="269"/>
      <c r="F1564" s="268"/>
      <c r="G1564" s="319"/>
      <c r="H1564" s="302"/>
      <c r="I1564" s="288"/>
      <c r="J1564" s="288"/>
    </row>
    <row r="1565" spans="1:10" s="336" customFormat="1">
      <c r="A1565" s="267"/>
      <c r="B1565" s="268"/>
      <c r="C1565" s="268"/>
      <c r="D1565" s="367"/>
      <c r="E1565" s="269"/>
      <c r="F1565" s="268"/>
      <c r="G1565" s="319"/>
      <c r="H1565" s="302"/>
      <c r="I1565" s="288"/>
      <c r="J1565" s="288"/>
    </row>
    <row r="1566" spans="1:10" s="336" customFormat="1">
      <c r="A1566" s="267"/>
      <c r="B1566" s="268"/>
      <c r="C1566" s="268"/>
      <c r="D1566" s="367"/>
      <c r="E1566" s="269"/>
      <c r="F1566" s="268"/>
      <c r="G1566" s="319"/>
      <c r="H1566" s="302"/>
      <c r="I1566" s="288"/>
      <c r="J1566" s="288"/>
    </row>
    <row r="1567" spans="1:10" s="336" customFormat="1">
      <c r="A1567" s="267"/>
      <c r="B1567" s="268"/>
      <c r="C1567" s="268"/>
      <c r="D1567" s="367"/>
      <c r="E1567" s="269"/>
      <c r="F1567" s="268"/>
      <c r="G1567" s="319"/>
      <c r="H1567" s="302"/>
      <c r="I1567" s="288"/>
      <c r="J1567" s="288"/>
    </row>
    <row r="1568" spans="1:10" s="336" customFormat="1">
      <c r="A1568" s="267"/>
      <c r="B1568" s="268"/>
      <c r="C1568" s="268"/>
      <c r="D1568" s="367"/>
      <c r="E1568" s="269"/>
      <c r="F1568" s="268"/>
      <c r="G1568" s="319"/>
      <c r="H1568" s="302"/>
      <c r="I1568" s="288"/>
      <c r="J1568" s="288"/>
    </row>
    <row r="1569" spans="1:10" s="336" customFormat="1">
      <c r="A1569" s="267"/>
      <c r="B1569" s="268"/>
      <c r="C1569" s="268"/>
      <c r="D1569" s="367"/>
      <c r="E1569" s="269"/>
      <c r="F1569" s="268"/>
      <c r="G1569" s="319"/>
      <c r="H1569" s="302"/>
      <c r="I1569" s="288"/>
      <c r="J1569" s="288"/>
    </row>
    <row r="1570" spans="1:10" s="336" customFormat="1">
      <c r="A1570" s="267"/>
      <c r="B1570" s="268"/>
      <c r="C1570" s="268"/>
      <c r="D1570" s="367"/>
      <c r="E1570" s="269"/>
      <c r="F1570" s="268"/>
      <c r="G1570" s="319"/>
      <c r="H1570" s="302"/>
      <c r="I1570" s="288"/>
      <c r="J1570" s="288"/>
    </row>
    <row r="1571" spans="1:10" s="336" customFormat="1">
      <c r="A1571" s="267"/>
      <c r="B1571" s="268"/>
      <c r="C1571" s="268"/>
      <c r="D1571" s="367"/>
      <c r="E1571" s="269"/>
      <c r="F1571" s="268"/>
      <c r="G1571" s="319"/>
      <c r="H1571" s="302"/>
      <c r="I1571" s="288"/>
      <c r="J1571" s="288"/>
    </row>
    <row r="1572" spans="1:10" s="336" customFormat="1">
      <c r="A1572" s="267"/>
      <c r="B1572" s="268"/>
      <c r="C1572" s="268"/>
      <c r="D1572" s="367"/>
      <c r="E1572" s="269"/>
      <c r="F1572" s="268"/>
      <c r="G1572" s="319"/>
      <c r="H1572" s="302"/>
      <c r="I1572" s="288"/>
      <c r="J1572" s="288"/>
    </row>
    <row r="1573" spans="1:10" s="336" customFormat="1">
      <c r="A1573" s="267"/>
      <c r="B1573" s="268"/>
      <c r="C1573" s="268"/>
      <c r="D1573" s="367"/>
      <c r="E1573" s="269"/>
      <c r="F1573" s="268"/>
      <c r="G1573" s="319"/>
      <c r="H1573" s="302"/>
      <c r="I1573" s="288"/>
      <c r="J1573" s="288"/>
    </row>
    <row r="1574" spans="1:10" s="336" customFormat="1">
      <c r="A1574" s="267"/>
      <c r="B1574" s="268"/>
      <c r="C1574" s="268"/>
      <c r="D1574" s="367"/>
      <c r="E1574" s="269"/>
      <c r="F1574" s="268"/>
      <c r="G1574" s="319"/>
      <c r="H1574" s="302"/>
      <c r="I1574" s="288"/>
      <c r="J1574" s="288"/>
    </row>
    <row r="1575" spans="1:10" s="336" customFormat="1">
      <c r="A1575" s="267"/>
      <c r="B1575" s="268"/>
      <c r="C1575" s="268"/>
      <c r="D1575" s="367"/>
      <c r="E1575" s="269"/>
      <c r="F1575" s="268"/>
      <c r="G1575" s="319"/>
      <c r="H1575" s="302"/>
      <c r="I1575" s="288"/>
      <c r="J1575" s="288"/>
    </row>
    <row r="1576" spans="1:10" s="336" customFormat="1">
      <c r="A1576" s="267"/>
      <c r="B1576" s="268"/>
      <c r="C1576" s="268"/>
      <c r="D1576" s="367"/>
      <c r="E1576" s="269"/>
      <c r="F1576" s="268"/>
      <c r="G1576" s="319"/>
      <c r="H1576" s="302"/>
      <c r="I1576" s="288"/>
      <c r="J1576" s="288"/>
    </row>
    <row r="1577" spans="1:10" s="336" customFormat="1">
      <c r="A1577" s="267"/>
      <c r="B1577" s="268"/>
      <c r="C1577" s="268"/>
      <c r="D1577" s="367"/>
      <c r="E1577" s="269"/>
      <c r="F1577" s="268"/>
      <c r="G1577" s="319"/>
      <c r="H1577" s="302"/>
      <c r="I1577" s="288"/>
      <c r="J1577" s="288"/>
    </row>
    <row r="1578" spans="1:10" s="336" customFormat="1">
      <c r="A1578" s="267"/>
      <c r="B1578" s="268"/>
      <c r="C1578" s="268"/>
      <c r="D1578" s="367"/>
      <c r="E1578" s="269"/>
      <c r="F1578" s="268"/>
      <c r="G1578" s="319"/>
      <c r="H1578" s="302"/>
      <c r="I1578" s="288"/>
      <c r="J1578" s="288"/>
    </row>
    <row r="1579" spans="1:10" s="336" customFormat="1">
      <c r="A1579" s="267"/>
      <c r="B1579" s="268"/>
      <c r="C1579" s="268"/>
      <c r="D1579" s="367"/>
      <c r="E1579" s="269"/>
      <c r="F1579" s="268"/>
      <c r="G1579" s="319"/>
      <c r="H1579" s="302"/>
      <c r="I1579" s="288"/>
      <c r="J1579" s="288"/>
    </row>
    <row r="1580" spans="1:10" s="336" customFormat="1">
      <c r="A1580" s="267"/>
      <c r="B1580" s="268"/>
      <c r="C1580" s="268"/>
      <c r="D1580" s="367"/>
      <c r="E1580" s="269"/>
      <c r="F1580" s="268"/>
      <c r="G1580" s="319"/>
      <c r="H1580" s="302"/>
      <c r="I1580" s="288"/>
      <c r="J1580" s="288"/>
    </row>
    <row r="1581" spans="1:10" s="336" customFormat="1">
      <c r="A1581" s="267"/>
      <c r="B1581" s="268"/>
      <c r="C1581" s="268"/>
      <c r="D1581" s="367"/>
      <c r="E1581" s="269"/>
      <c r="F1581" s="268"/>
      <c r="G1581" s="319"/>
      <c r="H1581" s="302"/>
      <c r="I1581" s="288"/>
      <c r="J1581" s="288"/>
    </row>
    <row r="1582" spans="1:10" s="336" customFormat="1">
      <c r="A1582" s="267"/>
      <c r="B1582" s="268"/>
      <c r="C1582" s="268"/>
      <c r="D1582" s="367"/>
      <c r="E1582" s="269"/>
      <c r="F1582" s="268"/>
      <c r="G1582" s="319"/>
      <c r="H1582" s="302"/>
      <c r="I1582" s="288"/>
      <c r="J1582" s="288"/>
    </row>
    <row r="1583" spans="1:10" s="336" customFormat="1">
      <c r="A1583" s="267"/>
      <c r="B1583" s="268"/>
      <c r="C1583" s="268"/>
      <c r="D1583" s="367"/>
      <c r="E1583" s="269"/>
      <c r="F1583" s="268"/>
      <c r="G1583" s="319"/>
      <c r="H1583" s="302"/>
      <c r="I1583" s="288"/>
      <c r="J1583" s="288"/>
    </row>
    <row r="1584" spans="1:10" s="336" customFormat="1">
      <c r="A1584" s="267"/>
      <c r="B1584" s="268"/>
      <c r="C1584" s="268"/>
      <c r="D1584" s="367"/>
      <c r="E1584" s="269"/>
      <c r="F1584" s="268"/>
      <c r="G1584" s="319"/>
      <c r="H1584" s="302"/>
      <c r="I1584" s="288"/>
      <c r="J1584" s="288"/>
    </row>
    <row r="1585" spans="1:10" s="336" customFormat="1">
      <c r="A1585" s="267"/>
      <c r="B1585" s="268"/>
      <c r="C1585" s="268"/>
      <c r="D1585" s="367"/>
      <c r="E1585" s="269"/>
      <c r="F1585" s="268"/>
      <c r="G1585" s="319"/>
      <c r="H1585" s="302"/>
      <c r="I1585" s="288"/>
      <c r="J1585" s="288"/>
    </row>
    <row r="1586" spans="1:10" s="336" customFormat="1">
      <c r="A1586" s="267"/>
      <c r="B1586" s="268"/>
      <c r="C1586" s="268"/>
      <c r="D1586" s="367"/>
      <c r="E1586" s="269"/>
      <c r="F1586" s="268"/>
      <c r="G1586" s="319"/>
      <c r="H1586" s="302"/>
      <c r="I1586" s="288"/>
      <c r="J1586" s="288"/>
    </row>
    <row r="1587" spans="1:10" s="336" customFormat="1">
      <c r="A1587" s="267"/>
      <c r="B1587" s="268"/>
      <c r="C1587" s="268"/>
      <c r="D1587" s="367"/>
      <c r="E1587" s="269"/>
      <c r="F1587" s="268"/>
      <c r="G1587" s="319"/>
      <c r="H1587" s="302"/>
      <c r="I1587" s="288"/>
      <c r="J1587" s="288"/>
    </row>
    <row r="1588" spans="1:10" s="336" customFormat="1">
      <c r="A1588" s="267"/>
      <c r="B1588" s="268"/>
      <c r="C1588" s="268"/>
      <c r="D1588" s="367"/>
      <c r="E1588" s="269"/>
      <c r="F1588" s="268"/>
      <c r="G1588" s="319"/>
      <c r="H1588" s="302"/>
      <c r="I1588" s="288"/>
      <c r="J1588" s="288"/>
    </row>
    <row r="1589" spans="1:10" s="336" customFormat="1">
      <c r="A1589" s="267"/>
      <c r="B1589" s="268"/>
      <c r="C1589" s="268"/>
      <c r="D1589" s="367"/>
      <c r="E1589" s="269"/>
      <c r="F1589" s="268"/>
      <c r="G1589" s="319"/>
      <c r="H1589" s="302"/>
      <c r="I1589" s="288"/>
      <c r="J1589" s="288"/>
    </row>
    <row r="1590" spans="1:10" s="336" customFormat="1">
      <c r="A1590" s="267"/>
      <c r="B1590" s="268"/>
      <c r="C1590" s="268"/>
      <c r="D1590" s="367"/>
      <c r="E1590" s="269"/>
      <c r="F1590" s="268"/>
      <c r="G1590" s="319"/>
      <c r="H1590" s="302"/>
      <c r="I1590" s="288"/>
      <c r="J1590" s="288"/>
    </row>
    <row r="1591" spans="1:10" s="336" customFormat="1">
      <c r="A1591" s="267"/>
      <c r="B1591" s="268"/>
      <c r="C1591" s="268"/>
      <c r="D1591" s="367"/>
      <c r="E1591" s="269"/>
      <c r="F1591" s="268"/>
      <c r="G1591" s="319"/>
      <c r="H1591" s="302"/>
      <c r="I1591" s="288"/>
      <c r="J1591" s="288"/>
    </row>
    <row r="1592" spans="1:10" s="336" customFormat="1">
      <c r="A1592" s="267"/>
      <c r="B1592" s="268"/>
      <c r="C1592" s="268"/>
      <c r="D1592" s="367"/>
      <c r="E1592" s="269"/>
      <c r="F1592" s="268"/>
      <c r="G1592" s="319"/>
      <c r="H1592" s="302"/>
      <c r="I1592" s="288"/>
      <c r="J1592" s="288"/>
    </row>
    <row r="1593" spans="1:10" s="336" customFormat="1">
      <c r="A1593" s="267"/>
      <c r="B1593" s="268"/>
      <c r="C1593" s="268"/>
      <c r="D1593" s="367"/>
      <c r="E1593" s="269"/>
      <c r="F1593" s="268"/>
      <c r="G1593" s="319"/>
      <c r="H1593" s="302"/>
      <c r="I1593" s="288"/>
      <c r="J1593" s="288"/>
    </row>
    <row r="1594" spans="1:10" s="336" customFormat="1">
      <c r="A1594" s="267"/>
      <c r="B1594" s="268"/>
      <c r="C1594" s="268"/>
      <c r="D1594" s="367"/>
      <c r="E1594" s="269"/>
      <c r="F1594" s="268"/>
      <c r="G1594" s="319"/>
      <c r="H1594" s="302"/>
      <c r="I1594" s="288"/>
      <c r="J1594" s="288"/>
    </row>
    <row r="1595" spans="1:10" s="336" customFormat="1">
      <c r="A1595" s="267"/>
      <c r="B1595" s="268"/>
      <c r="C1595" s="268"/>
      <c r="D1595" s="367"/>
      <c r="E1595" s="269"/>
      <c r="F1595" s="268"/>
      <c r="G1595" s="319"/>
      <c r="H1595" s="302"/>
      <c r="I1595" s="288"/>
      <c r="J1595" s="288"/>
    </row>
    <row r="1596" spans="1:10" s="336" customFormat="1">
      <c r="A1596" s="267"/>
      <c r="B1596" s="268"/>
      <c r="C1596" s="268"/>
      <c r="D1596" s="367"/>
      <c r="E1596" s="269"/>
      <c r="F1596" s="268"/>
      <c r="G1596" s="319"/>
      <c r="H1596" s="302"/>
      <c r="I1596" s="288"/>
      <c r="J1596" s="288"/>
    </row>
    <row r="1597" spans="1:10" s="336" customFormat="1">
      <c r="A1597" s="267"/>
      <c r="B1597" s="268"/>
      <c r="C1597" s="268"/>
      <c r="D1597" s="367"/>
      <c r="E1597" s="269"/>
      <c r="F1597" s="268"/>
      <c r="G1597" s="319"/>
      <c r="H1597" s="302"/>
      <c r="I1597" s="288"/>
      <c r="J1597" s="288"/>
    </row>
    <row r="1598" spans="1:10" s="336" customFormat="1">
      <c r="A1598" s="267"/>
      <c r="B1598" s="268"/>
      <c r="C1598" s="268"/>
      <c r="D1598" s="367"/>
      <c r="E1598" s="269"/>
      <c r="F1598" s="268"/>
      <c r="G1598" s="319"/>
      <c r="H1598" s="302"/>
      <c r="I1598" s="288"/>
      <c r="J1598" s="288"/>
    </row>
    <row r="1599" spans="1:10" s="336" customFormat="1">
      <c r="A1599" s="267"/>
      <c r="B1599" s="268"/>
      <c r="C1599" s="268"/>
      <c r="D1599" s="367"/>
      <c r="E1599" s="269"/>
      <c r="F1599" s="268"/>
      <c r="G1599" s="319"/>
      <c r="H1599" s="302"/>
      <c r="I1599" s="288"/>
      <c r="J1599" s="288"/>
    </row>
    <row r="1600" spans="1:10" s="336" customFormat="1">
      <c r="A1600" s="267"/>
      <c r="B1600" s="268"/>
      <c r="C1600" s="268"/>
      <c r="D1600" s="367"/>
      <c r="E1600" s="269"/>
      <c r="F1600" s="268"/>
      <c r="G1600" s="319"/>
      <c r="H1600" s="302"/>
      <c r="I1600" s="288"/>
      <c r="J1600" s="288"/>
    </row>
    <row r="1601" spans="1:10" s="336" customFormat="1">
      <c r="A1601" s="267"/>
      <c r="B1601" s="268"/>
      <c r="C1601" s="268"/>
      <c r="D1601" s="367"/>
      <c r="E1601" s="269"/>
      <c r="F1601" s="268"/>
      <c r="G1601" s="319"/>
      <c r="H1601" s="302"/>
      <c r="I1601" s="288"/>
      <c r="J1601" s="288"/>
    </row>
    <row r="1602" spans="1:10" s="336" customFormat="1">
      <c r="A1602" s="267"/>
      <c r="B1602" s="268"/>
      <c r="C1602" s="268"/>
      <c r="D1602" s="367"/>
      <c r="E1602" s="269"/>
      <c r="F1602" s="268"/>
      <c r="G1602" s="319"/>
      <c r="H1602" s="302"/>
      <c r="I1602" s="288"/>
      <c r="J1602" s="288"/>
    </row>
    <row r="1603" spans="1:10" s="336" customFormat="1">
      <c r="A1603" s="267"/>
      <c r="B1603" s="268"/>
      <c r="C1603" s="268"/>
      <c r="D1603" s="367"/>
      <c r="E1603" s="269"/>
      <c r="F1603" s="268"/>
      <c r="G1603" s="319"/>
      <c r="H1603" s="302"/>
      <c r="I1603" s="288"/>
      <c r="J1603" s="288"/>
    </row>
    <row r="1604" spans="1:10" s="336" customFormat="1">
      <c r="A1604" s="267"/>
      <c r="B1604" s="268"/>
      <c r="C1604" s="268"/>
      <c r="D1604" s="367"/>
      <c r="E1604" s="269"/>
      <c r="F1604" s="268"/>
      <c r="G1604" s="319"/>
      <c r="H1604" s="302"/>
      <c r="I1604" s="288"/>
      <c r="J1604" s="288"/>
    </row>
    <row r="1605" spans="1:10" s="336" customFormat="1">
      <c r="A1605" s="267"/>
      <c r="B1605" s="268"/>
      <c r="C1605" s="268"/>
      <c r="D1605" s="367"/>
      <c r="E1605" s="269"/>
      <c r="F1605" s="268"/>
      <c r="G1605" s="319"/>
      <c r="H1605" s="302"/>
      <c r="I1605" s="288"/>
      <c r="J1605" s="288"/>
    </row>
    <row r="1606" spans="1:10" s="336" customFormat="1">
      <c r="A1606" s="267"/>
      <c r="B1606" s="268"/>
      <c r="C1606" s="268"/>
      <c r="D1606" s="367"/>
      <c r="E1606" s="269"/>
      <c r="F1606" s="268"/>
      <c r="G1606" s="319"/>
      <c r="H1606" s="302"/>
      <c r="I1606" s="288"/>
      <c r="J1606" s="288"/>
    </row>
    <row r="1607" spans="1:10" s="336" customFormat="1">
      <c r="A1607" s="267"/>
      <c r="B1607" s="268"/>
      <c r="C1607" s="268"/>
      <c r="D1607" s="367"/>
      <c r="E1607" s="269"/>
      <c r="F1607" s="268"/>
      <c r="G1607" s="319"/>
      <c r="H1607" s="302"/>
      <c r="I1607" s="288"/>
      <c r="J1607" s="288"/>
    </row>
    <row r="1608" spans="1:10" s="336" customFormat="1">
      <c r="A1608" s="267"/>
      <c r="B1608" s="268"/>
      <c r="C1608" s="268"/>
      <c r="D1608" s="367"/>
      <c r="E1608" s="269"/>
      <c r="F1608" s="268"/>
      <c r="G1608" s="319"/>
      <c r="H1608" s="302"/>
      <c r="I1608" s="288"/>
      <c r="J1608" s="288"/>
    </row>
    <row r="1609" spans="1:10" s="336" customFormat="1">
      <c r="A1609" s="267"/>
      <c r="B1609" s="268"/>
      <c r="C1609" s="268"/>
      <c r="D1609" s="367"/>
      <c r="E1609" s="269"/>
      <c r="F1609" s="268"/>
      <c r="G1609" s="319"/>
      <c r="H1609" s="302"/>
      <c r="I1609" s="288"/>
      <c r="J1609" s="288"/>
    </row>
    <row r="1610" spans="1:10" s="336" customFormat="1">
      <c r="A1610" s="267"/>
      <c r="B1610" s="268"/>
      <c r="C1610" s="268"/>
      <c r="D1610" s="367"/>
      <c r="E1610" s="269"/>
      <c r="F1610" s="268"/>
      <c r="G1610" s="319"/>
      <c r="H1610" s="302"/>
      <c r="I1610" s="288"/>
      <c r="J1610" s="288"/>
    </row>
    <row r="1611" spans="1:10" s="336" customFormat="1">
      <c r="A1611" s="267"/>
      <c r="B1611" s="268"/>
      <c r="C1611" s="268"/>
      <c r="D1611" s="367"/>
      <c r="E1611" s="269"/>
      <c r="F1611" s="268"/>
      <c r="G1611" s="319"/>
      <c r="H1611" s="302"/>
      <c r="I1611" s="288"/>
      <c r="J1611" s="288"/>
    </row>
    <row r="1612" spans="1:10" s="336" customFormat="1">
      <c r="A1612" s="267"/>
      <c r="B1612" s="268"/>
      <c r="C1612" s="268"/>
      <c r="D1612" s="367"/>
      <c r="E1612" s="269"/>
      <c r="F1612" s="268"/>
      <c r="G1612" s="319"/>
      <c r="H1612" s="302"/>
      <c r="I1612" s="288"/>
      <c r="J1612" s="288"/>
    </row>
    <row r="1613" spans="1:10" s="336" customFormat="1">
      <c r="A1613" s="267"/>
      <c r="B1613" s="268"/>
      <c r="C1613" s="268"/>
      <c r="D1613" s="367"/>
      <c r="E1613" s="269"/>
      <c r="F1613" s="268"/>
      <c r="G1613" s="319"/>
      <c r="H1613" s="302"/>
      <c r="I1613" s="288"/>
      <c r="J1613" s="288"/>
    </row>
    <row r="1614" spans="1:10" s="336" customFormat="1">
      <c r="A1614" s="267"/>
      <c r="B1614" s="268"/>
      <c r="C1614" s="268"/>
      <c r="D1614" s="367"/>
      <c r="E1614" s="269"/>
      <c r="F1614" s="268"/>
      <c r="G1614" s="319"/>
      <c r="H1614" s="302"/>
      <c r="I1614" s="288"/>
      <c r="J1614" s="288"/>
    </row>
    <row r="1615" spans="1:10" s="336" customFormat="1">
      <c r="A1615" s="267"/>
      <c r="B1615" s="268"/>
      <c r="C1615" s="268"/>
      <c r="D1615" s="367"/>
      <c r="E1615" s="269"/>
      <c r="F1615" s="268"/>
      <c r="G1615" s="319"/>
      <c r="H1615" s="302"/>
      <c r="I1615" s="288"/>
      <c r="J1615" s="288"/>
    </row>
    <row r="1616" spans="1:10" s="336" customFormat="1">
      <c r="A1616" s="267"/>
      <c r="B1616" s="268"/>
      <c r="C1616" s="268"/>
      <c r="D1616" s="367"/>
      <c r="E1616" s="269"/>
      <c r="F1616" s="268"/>
      <c r="G1616" s="319"/>
      <c r="H1616" s="302"/>
      <c r="I1616" s="288"/>
      <c r="J1616" s="288"/>
    </row>
    <row r="1617" spans="1:10" s="336" customFormat="1">
      <c r="A1617" s="267"/>
      <c r="B1617" s="268"/>
      <c r="C1617" s="268"/>
      <c r="D1617" s="367"/>
      <c r="E1617" s="269"/>
      <c r="F1617" s="268"/>
      <c r="G1617" s="319"/>
      <c r="H1617" s="302"/>
      <c r="I1617" s="288"/>
      <c r="J1617" s="288"/>
    </row>
    <row r="1618" spans="1:10" s="336" customFormat="1">
      <c r="A1618" s="267"/>
      <c r="B1618" s="268"/>
      <c r="C1618" s="268"/>
      <c r="D1618" s="367"/>
      <c r="E1618" s="269"/>
      <c r="F1618" s="268"/>
      <c r="G1618" s="319"/>
      <c r="H1618" s="302"/>
      <c r="I1618" s="288"/>
      <c r="J1618" s="288"/>
    </row>
    <row r="1619" spans="1:10" s="336" customFormat="1">
      <c r="A1619" s="267"/>
      <c r="B1619" s="268"/>
      <c r="C1619" s="268"/>
      <c r="D1619" s="367"/>
      <c r="E1619" s="269"/>
      <c r="F1619" s="268"/>
      <c r="G1619" s="319"/>
      <c r="H1619" s="302"/>
      <c r="I1619" s="288"/>
      <c r="J1619" s="288"/>
    </row>
    <row r="1620" spans="1:10" s="336" customFormat="1">
      <c r="A1620" s="267"/>
      <c r="B1620" s="268"/>
      <c r="C1620" s="268"/>
      <c r="D1620" s="367"/>
      <c r="E1620" s="269"/>
      <c r="F1620" s="268"/>
      <c r="G1620" s="319"/>
      <c r="H1620" s="302"/>
      <c r="I1620" s="288"/>
      <c r="J1620" s="288"/>
    </row>
    <row r="1621" spans="1:10" s="336" customFormat="1">
      <c r="A1621" s="267"/>
      <c r="B1621" s="268"/>
      <c r="C1621" s="268"/>
      <c r="D1621" s="367"/>
      <c r="E1621" s="269"/>
      <c r="F1621" s="268"/>
      <c r="G1621" s="319"/>
      <c r="H1621" s="302"/>
      <c r="I1621" s="288"/>
      <c r="J1621" s="288"/>
    </row>
    <row r="1622" spans="1:10" s="336" customFormat="1">
      <c r="A1622" s="267"/>
      <c r="B1622" s="268"/>
      <c r="C1622" s="268"/>
      <c r="D1622" s="367"/>
      <c r="E1622" s="269"/>
      <c r="F1622" s="268"/>
      <c r="G1622" s="319"/>
      <c r="H1622" s="302"/>
      <c r="I1622" s="288"/>
      <c r="J1622" s="288"/>
    </row>
    <row r="1623" spans="1:10" s="336" customFormat="1">
      <c r="A1623" s="267"/>
      <c r="B1623" s="268"/>
      <c r="C1623" s="268"/>
      <c r="D1623" s="367"/>
      <c r="E1623" s="269"/>
      <c r="F1623" s="268"/>
      <c r="G1623" s="319"/>
      <c r="H1623" s="302"/>
      <c r="I1623" s="288"/>
      <c r="J1623" s="288"/>
    </row>
    <row r="1624" spans="1:10" s="336" customFormat="1">
      <c r="A1624" s="267"/>
      <c r="B1624" s="268"/>
      <c r="C1624" s="268"/>
      <c r="D1624" s="367"/>
      <c r="E1624" s="269"/>
      <c r="F1624" s="268"/>
      <c r="G1624" s="319"/>
      <c r="H1624" s="302"/>
      <c r="I1624" s="288"/>
      <c r="J1624" s="288"/>
    </row>
    <row r="1625" spans="1:10" s="336" customFormat="1">
      <c r="A1625" s="267"/>
      <c r="B1625" s="268"/>
      <c r="C1625" s="268"/>
      <c r="D1625" s="367"/>
      <c r="E1625" s="269"/>
      <c r="F1625" s="268"/>
      <c r="G1625" s="319"/>
      <c r="H1625" s="302"/>
      <c r="I1625" s="288"/>
      <c r="J1625" s="288"/>
    </row>
    <row r="1626" spans="1:10" s="336" customFormat="1">
      <c r="A1626" s="140"/>
      <c r="B1626" s="268"/>
      <c r="C1626" s="268"/>
      <c r="D1626" s="367"/>
      <c r="E1626" s="269"/>
      <c r="F1626" s="268"/>
      <c r="G1626" s="319"/>
      <c r="H1626" s="302"/>
      <c r="I1626" s="288"/>
      <c r="J1626" s="288"/>
    </row>
    <row r="1627" spans="1:10" s="336" customFormat="1">
      <c r="A1627" s="140"/>
      <c r="B1627" s="268"/>
      <c r="C1627" s="268"/>
      <c r="D1627" s="367"/>
      <c r="E1627" s="269"/>
      <c r="F1627" s="268"/>
      <c r="G1627" s="319"/>
      <c r="H1627" s="302"/>
      <c r="I1627" s="288"/>
      <c r="J1627" s="288"/>
    </row>
    <row r="1628" spans="1:10" s="336" customFormat="1">
      <c r="A1628" s="140"/>
      <c r="B1628" s="268"/>
      <c r="C1628" s="268"/>
      <c r="D1628" s="367"/>
      <c r="E1628" s="269"/>
      <c r="F1628" s="268"/>
      <c r="G1628" s="319"/>
      <c r="H1628" s="302"/>
      <c r="I1628" s="288"/>
      <c r="J1628" s="288"/>
    </row>
    <row r="1629" spans="1:10" s="336" customFormat="1">
      <c r="A1629" s="140"/>
      <c r="B1629" s="268"/>
      <c r="C1629" s="268"/>
      <c r="D1629" s="367"/>
      <c r="E1629" s="269"/>
      <c r="F1629" s="268"/>
      <c r="G1629" s="319"/>
      <c r="H1629" s="302"/>
      <c r="I1629" s="288"/>
      <c r="J1629" s="288"/>
    </row>
  </sheetData>
  <autoFilter ref="B7:J1517"/>
  <mergeCells count="132">
    <mergeCell ref="B953:I953"/>
    <mergeCell ref="B950:I950"/>
    <mergeCell ref="B925:I925"/>
    <mergeCell ref="B1516:I1516"/>
    <mergeCell ref="B1483:I1483"/>
    <mergeCell ref="B1455:I1455"/>
    <mergeCell ref="B1396:I1396"/>
    <mergeCell ref="B1395:I1395"/>
    <mergeCell ref="B1340:I1340"/>
    <mergeCell ref="B1339:I1339"/>
    <mergeCell ref="B1309:I1309"/>
    <mergeCell ref="B1246:I1246"/>
    <mergeCell ref="B1336:I1336"/>
    <mergeCell ref="B1086:I1086"/>
    <mergeCell ref="B1180:I1180"/>
    <mergeCell ref="B1117:I1117"/>
    <mergeCell ref="B1053:I1053"/>
    <mergeCell ref="B1019:I1019"/>
    <mergeCell ref="B1392:I1392"/>
    <mergeCell ref="B13:I13"/>
    <mergeCell ref="B37:I37"/>
    <mergeCell ref="B76:I76"/>
    <mergeCell ref="B370:I370"/>
    <mergeCell ref="B421:I421"/>
    <mergeCell ref="B108:I108"/>
    <mergeCell ref="B178:I178"/>
    <mergeCell ref="B231:I231"/>
    <mergeCell ref="B294:I294"/>
    <mergeCell ref="B79:I79"/>
    <mergeCell ref="B149:I149"/>
    <mergeCell ref="B230:I230"/>
    <mergeCell ref="B146:I146"/>
    <mergeCell ref="B156:I156"/>
    <mergeCell ref="B150:I150"/>
    <mergeCell ref="B80:I80"/>
    <mergeCell ref="B237:I237"/>
    <mergeCell ref="B259:I259"/>
    <mergeCell ref="B290:I290"/>
    <mergeCell ref="B322:I322"/>
    <mergeCell ref="B293:I293"/>
    <mergeCell ref="B300:I300"/>
    <mergeCell ref="B364:I364"/>
    <mergeCell ref="B897:I897"/>
    <mergeCell ref="B898:I898"/>
    <mergeCell ref="B592:I592"/>
    <mergeCell ref="B698:I698"/>
    <mergeCell ref="B637:I637"/>
    <mergeCell ref="B525:I525"/>
    <mergeCell ref="B549:I549"/>
    <mergeCell ref="B472:I472"/>
    <mergeCell ref="B476:I476"/>
    <mergeCell ref="B582:I582"/>
    <mergeCell ref="B586:I586"/>
    <mergeCell ref="B518:I518"/>
    <mergeCell ref="B585:I585"/>
    <mergeCell ref="B501:I501"/>
    <mergeCell ref="B515:I515"/>
    <mergeCell ref="B760:I760"/>
    <mergeCell ref="B761:I761"/>
    <mergeCell ref="B475:I475"/>
    <mergeCell ref="B431:I431"/>
    <mergeCell ref="B451:I451"/>
    <mergeCell ref="B1290:I1290"/>
    <mergeCell ref="B1220:I1220"/>
    <mergeCell ref="B1221:I1221"/>
    <mergeCell ref="B1283:I1283"/>
    <mergeCell ref="B1517:I1517"/>
    <mergeCell ref="B1:J1"/>
    <mergeCell ref="B6:J6"/>
    <mergeCell ref="J4:J5"/>
    <mergeCell ref="E4:F5"/>
    <mergeCell ref="D4:D5"/>
    <mergeCell ref="B2:C5"/>
    <mergeCell ref="D2:D3"/>
    <mergeCell ref="E2:F3"/>
    <mergeCell ref="B634:I634"/>
    <mergeCell ref="B86:I86"/>
    <mergeCell ref="B227:I227"/>
    <mergeCell ref="B1217:I1217"/>
    <mergeCell ref="B954:I954"/>
    <mergeCell ref="B904:I904"/>
    <mergeCell ref="B1513:I1513"/>
    <mergeCell ref="B363:I363"/>
    <mergeCell ref="B424:I424"/>
    <mergeCell ref="B425:I425"/>
    <mergeCell ref="B392:I392"/>
    <mergeCell ref="B1454:I1454"/>
    <mergeCell ref="B1367:I1367"/>
    <mergeCell ref="B1089:I1089"/>
    <mergeCell ref="B1090:I1090"/>
    <mergeCell ref="B1284:I1284"/>
    <mergeCell ref="B1461:I1461"/>
    <mergeCell ref="B1151:I1151"/>
    <mergeCell ref="B1423:I1423"/>
    <mergeCell ref="B1152:I1152"/>
    <mergeCell ref="B1280:I1280"/>
    <mergeCell ref="B1451:I1451"/>
    <mergeCell ref="B960:I960"/>
    <mergeCell ref="B1029:I1029"/>
    <mergeCell ref="B1096:I1096"/>
    <mergeCell ref="B1158:I1158"/>
    <mergeCell ref="B1346:I1346"/>
    <mergeCell ref="B1227:I1227"/>
    <mergeCell ref="B981:I981"/>
    <mergeCell ref="B1402:I1402"/>
    <mergeCell ref="B1148:I1148"/>
    <mergeCell ref="B1022:I1022"/>
    <mergeCell ref="B1023:I1023"/>
    <mergeCell ref="B1519:I1519"/>
    <mergeCell ref="G2:H2"/>
    <mergeCell ref="G3:H5"/>
    <mergeCell ref="J2:J3"/>
    <mergeCell ref="B360:I360"/>
    <mergeCell ref="B663:I663"/>
    <mergeCell ref="B757:I757"/>
    <mergeCell ref="B827:I827"/>
    <mergeCell ref="B894:I894"/>
    <mergeCell ref="B726:I726"/>
    <mergeCell ref="B789:I789"/>
    <mergeCell ref="B858:I858"/>
    <mergeCell ref="B837:I837"/>
    <mergeCell ref="B638:I638"/>
    <mergeCell ref="B830:I830"/>
    <mergeCell ref="B831:I831"/>
    <mergeCell ref="B704:I704"/>
    <mergeCell ref="B767:I767"/>
    <mergeCell ref="B644:I644"/>
    <mergeCell ref="B697:I697"/>
    <mergeCell ref="B519:I519"/>
    <mergeCell ref="B611:I611"/>
    <mergeCell ref="B694:I694"/>
    <mergeCell ref="B482:I482"/>
  </mergeCells>
  <printOptions horizontalCentered="1"/>
  <pageMargins left="0.43307086614173229" right="0.31496062992125984" top="0.39370078740157483" bottom="0.39370078740157483" header="0.23622047244094491" footer="0.19685039370078741"/>
  <pageSetup paperSize="9" scale="49" fitToHeight="43" orientation="portrait" r:id="rId1"/>
  <headerFooter>
    <oddFooter>&amp;LPágina &amp;P de &amp;N</oddFooter>
  </headerFooter>
  <rowBreaks count="2" manualBreakCount="2">
    <brk id="53" min="1" max="9" man="1"/>
    <brk id="1466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8"/>
  <sheetViews>
    <sheetView view="pageBreakPreview" zoomScale="70" zoomScaleNormal="70" zoomScaleSheetLayoutView="70" workbookViewId="0">
      <pane ySplit="5" topLeftCell="A12" activePane="bottomLeft" state="frozen"/>
      <selection activeCell="C1" sqref="C1"/>
      <selection pane="bottomLeft" activeCell="J10" sqref="J10"/>
    </sheetView>
  </sheetViews>
  <sheetFormatPr defaultColWidth="9.109375" defaultRowHeight="14.4"/>
  <cols>
    <col min="1" max="1" width="18.5546875" style="305" customWidth="1"/>
    <col min="2" max="2" width="16.88671875" style="272" customWidth="1"/>
    <col min="3" max="3" width="63.109375" style="280" customWidth="1"/>
    <col min="4" max="4" width="8" style="272" bestFit="1" customWidth="1"/>
    <col min="5" max="5" width="15.88671875" style="331" bestFit="1" customWidth="1"/>
    <col min="6" max="6" width="18.6640625" style="332" bestFit="1" customWidth="1"/>
    <col min="7" max="7" width="15.88671875" style="333" bestFit="1" customWidth="1"/>
    <col min="8" max="8" width="15.44140625" style="333" customWidth="1"/>
    <col min="9" max="9" width="15.33203125" style="333" bestFit="1" customWidth="1"/>
    <col min="10" max="10" width="21.44140625" style="334" bestFit="1" customWidth="1"/>
    <col min="11" max="11" width="10.5546875" style="323" bestFit="1" customWidth="1"/>
    <col min="12" max="16384" width="9.109375" style="323"/>
  </cols>
  <sheetData>
    <row r="1" spans="1:10" ht="36.6">
      <c r="A1" s="597"/>
      <c r="B1" s="597"/>
      <c r="C1" s="597"/>
      <c r="D1" s="597"/>
      <c r="E1" s="597"/>
      <c r="F1" s="597"/>
      <c r="G1" s="597"/>
      <c r="H1" s="597"/>
      <c r="I1" s="597"/>
      <c r="J1" s="598"/>
    </row>
    <row r="2" spans="1:10" ht="25.8" thickBot="1">
      <c r="A2" s="599"/>
      <c r="B2" s="599"/>
      <c r="C2" s="599"/>
      <c r="D2" s="599"/>
      <c r="E2" s="599"/>
      <c r="F2" s="599"/>
      <c r="G2" s="599"/>
      <c r="H2" s="599"/>
      <c r="I2" s="599"/>
      <c r="J2" s="600"/>
    </row>
    <row r="3" spans="1:10" ht="25.5" customHeight="1" thickBot="1">
      <c r="A3" s="601" t="s">
        <v>2462</v>
      </c>
      <c r="B3" s="601"/>
      <c r="C3" s="601"/>
      <c r="D3" s="601"/>
      <c r="E3" s="601"/>
      <c r="F3" s="601"/>
      <c r="G3" s="601"/>
      <c r="H3" s="602"/>
      <c r="I3" s="448"/>
      <c r="J3" s="447"/>
    </row>
    <row r="4" spans="1:10" ht="16.8" thickBot="1">
      <c r="A4" s="603"/>
      <c r="B4" s="603"/>
      <c r="C4" s="603"/>
      <c r="D4" s="603"/>
      <c r="E4" s="603"/>
      <c r="F4" s="603"/>
      <c r="G4" s="603"/>
      <c r="H4" s="604"/>
      <c r="I4" s="448" t="s">
        <v>702</v>
      </c>
      <c r="J4" s="447">
        <v>0.19500000000000001</v>
      </c>
    </row>
    <row r="5" spans="1:10" s="337" customFormat="1" ht="36.6" thickBot="1">
      <c r="A5" s="304" t="s">
        <v>13</v>
      </c>
      <c r="B5" s="189" t="s">
        <v>14</v>
      </c>
      <c r="C5" s="279" t="s">
        <v>4</v>
      </c>
      <c r="D5" s="189" t="s">
        <v>15</v>
      </c>
      <c r="E5" s="330" t="s">
        <v>411</v>
      </c>
      <c r="F5" s="307" t="s">
        <v>703</v>
      </c>
      <c r="G5" s="270" t="s">
        <v>704</v>
      </c>
      <c r="H5" s="270" t="s">
        <v>724</v>
      </c>
      <c r="I5" s="270" t="s">
        <v>12</v>
      </c>
      <c r="J5" s="270" t="s">
        <v>17</v>
      </c>
    </row>
    <row r="6" spans="1:10" ht="28.8">
      <c r="A6" s="419" t="str">
        <f>ORÇAMENTO!C11</f>
        <v>16.06.078</v>
      </c>
      <c r="B6" s="426" t="s">
        <v>2474</v>
      </c>
      <c r="C6" s="421" t="str">
        <f>ORÇAMENTO!E11</f>
        <v>FORNECIMENTO E INSTALAÇAO DE PLACA DE IDENTIFICAÇAO DE OBRA INCLUSO SUPORTE ESTRUTURA DE MADEIRA.</v>
      </c>
      <c r="D6" s="420" t="str">
        <f>[4]ORÇAMENTO!G18</f>
        <v>M²</v>
      </c>
      <c r="E6" s="422">
        <v>1</v>
      </c>
      <c r="F6" s="423">
        <v>341.26</v>
      </c>
      <c r="G6" s="424"/>
      <c r="H6" s="424"/>
      <c r="I6" s="424">
        <f>F6*J$4</f>
        <v>66.545699999999997</v>
      </c>
      <c r="J6" s="425">
        <f>I6+F6</f>
        <v>407.8057</v>
      </c>
    </row>
    <row r="7" spans="1:10" s="338" customFormat="1" ht="28.8">
      <c r="A7" s="419">
        <v>37524</v>
      </c>
      <c r="B7" s="419" t="s">
        <v>2471</v>
      </c>
      <c r="C7" s="421" t="s">
        <v>1133</v>
      </c>
      <c r="D7" s="420" t="s">
        <v>412</v>
      </c>
      <c r="E7" s="422"/>
      <c r="F7" s="423"/>
      <c r="G7" s="424"/>
      <c r="H7" s="424"/>
      <c r="I7" s="424"/>
      <c r="J7" s="425">
        <v>2</v>
      </c>
    </row>
    <row r="8" spans="1:10" ht="170.25" customHeight="1">
      <c r="A8" s="419" t="s">
        <v>2432</v>
      </c>
      <c r="B8" s="419" t="s">
        <v>2473</v>
      </c>
      <c r="C8" s="421" t="s">
        <v>2431</v>
      </c>
      <c r="D8" s="420" t="s">
        <v>541</v>
      </c>
      <c r="E8" s="422" t="s">
        <v>712</v>
      </c>
      <c r="F8" s="423" t="s">
        <v>712</v>
      </c>
      <c r="G8" s="424" t="s">
        <v>712</v>
      </c>
      <c r="H8" s="424" t="s">
        <v>712</v>
      </c>
      <c r="I8" s="424" t="s">
        <v>712</v>
      </c>
      <c r="J8" s="425">
        <f>SUM(J9:J9)</f>
        <v>118.86664999999999</v>
      </c>
    </row>
    <row r="9" spans="1:10" s="325" customFormat="1" ht="28.8">
      <c r="A9" s="484" t="s">
        <v>2432</v>
      </c>
      <c r="B9" s="428" t="str">
        <f>B8</f>
        <v>CDHU - BOLETIM 191</v>
      </c>
      <c r="C9" s="474" t="str">
        <f>C8</f>
        <v>Forro em painéis de gesso acartonado, espessura de 12,5mm, fixo</v>
      </c>
      <c r="D9" s="428" t="s">
        <v>541</v>
      </c>
      <c r="E9" s="429">
        <v>1</v>
      </c>
      <c r="F9" s="414">
        <v>99.47</v>
      </c>
      <c r="G9" s="430">
        <f t="shared" ref="G9" si="0">E9*F9</f>
        <v>99.47</v>
      </c>
      <c r="H9" s="416">
        <f>G9*$J$3</f>
        <v>0</v>
      </c>
      <c r="I9" s="416">
        <f t="shared" ref="I9" si="1">(G9+H9)*J$4</f>
        <v>19.396650000000001</v>
      </c>
      <c r="J9" s="417">
        <f>G9+I9</f>
        <v>118.86664999999999</v>
      </c>
    </row>
    <row r="10" spans="1:10" ht="170.25" customHeight="1">
      <c r="A10" s="419" t="str">
        <f>ORÇAMENTO!C15</f>
        <v>COMPOSIÇÃO</v>
      </c>
      <c r="B10" s="419" t="s">
        <v>2471</v>
      </c>
      <c r="C10" s="421" t="str">
        <f>ORÇAMENTO!E15</f>
        <v>INSTALAÇÃO DE AR CONDICIONADO, SISTEMA SPLIT, CONTEMPLANDO SUPORTE E MÃO DE OBRA</v>
      </c>
      <c r="D10" s="420" t="s">
        <v>15</v>
      </c>
      <c r="E10" s="422" t="s">
        <v>712</v>
      </c>
      <c r="F10" s="423" t="s">
        <v>712</v>
      </c>
      <c r="G10" s="424" t="s">
        <v>712</v>
      </c>
      <c r="H10" s="424" t="s">
        <v>712</v>
      </c>
      <c r="I10" s="424" t="s">
        <v>712</v>
      </c>
      <c r="J10" s="425">
        <f>SUM(J11:J13)</f>
        <v>392.16787263999993</v>
      </c>
    </row>
    <row r="11" spans="1:10" s="325" customFormat="1" ht="28.8">
      <c r="A11" s="410">
        <v>37591</v>
      </c>
      <c r="B11" s="428" t="s">
        <v>2471</v>
      </c>
      <c r="C11" s="474" t="s">
        <v>2405</v>
      </c>
      <c r="D11" s="428" t="s">
        <v>15</v>
      </c>
      <c r="E11" s="429">
        <v>2</v>
      </c>
      <c r="F11" s="414">
        <v>26.35</v>
      </c>
      <c r="G11" s="430">
        <f t="shared" ref="G11" si="2">E11*F11</f>
        <v>52.7</v>
      </c>
      <c r="H11" s="416">
        <f>G11*$J$3</f>
        <v>0</v>
      </c>
      <c r="I11" s="416">
        <f t="shared" ref="I11" si="3">(G11+H11)*J$4</f>
        <v>10.2765</v>
      </c>
      <c r="J11" s="417">
        <f t="shared" ref="J11" si="4">G11+H11+I11</f>
        <v>62.976500000000001</v>
      </c>
    </row>
    <row r="12" spans="1:10" s="325" customFormat="1" ht="28.8">
      <c r="A12" s="410">
        <v>88243</v>
      </c>
      <c r="B12" s="428" t="s">
        <v>2471</v>
      </c>
      <c r="C12" s="412" t="s">
        <v>750</v>
      </c>
      <c r="D12" s="428" t="s">
        <v>415</v>
      </c>
      <c r="E12" s="429">
        <v>3.9727999999999999</v>
      </c>
      <c r="F12" s="414">
        <v>29.22</v>
      </c>
      <c r="G12" s="430">
        <f t="shared" ref="G12:G13" si="5">E12*F12</f>
        <v>116.08521599999999</v>
      </c>
      <c r="H12" s="416">
        <f t="shared" ref="H12:H13" si="6">G12*$J$3</f>
        <v>0</v>
      </c>
      <c r="I12" s="416">
        <f t="shared" ref="I12:I13" si="7">(G12+H12)*J$4</f>
        <v>22.636617119999997</v>
      </c>
      <c r="J12" s="417">
        <f t="shared" ref="J12:J13" si="8">G12+H12+I12</f>
        <v>138.72183311999999</v>
      </c>
    </row>
    <row r="13" spans="1:10" s="325" customFormat="1" ht="28.8">
      <c r="A13" s="431">
        <v>100308</v>
      </c>
      <c r="B13" s="428" t="s">
        <v>2471</v>
      </c>
      <c r="C13" s="418" t="s">
        <v>2406</v>
      </c>
      <c r="D13" s="478" t="s">
        <v>415</v>
      </c>
      <c r="E13" s="432">
        <v>3.9727999999999999</v>
      </c>
      <c r="F13" s="433">
        <v>40.119999999999997</v>
      </c>
      <c r="G13" s="430">
        <f t="shared" si="5"/>
        <v>159.38873599999999</v>
      </c>
      <c r="H13" s="416">
        <f t="shared" si="6"/>
        <v>0</v>
      </c>
      <c r="I13" s="416">
        <f t="shared" si="7"/>
        <v>31.08080352</v>
      </c>
      <c r="J13" s="417">
        <f t="shared" si="8"/>
        <v>190.46953951999998</v>
      </c>
    </row>
    <row r="14" spans="1:10" ht="170.25" customHeight="1">
      <c r="A14" s="419" t="str">
        <f>ORÇAMENTO!C16</f>
        <v>COMPOSIÇÃO</v>
      </c>
      <c r="B14" s="419" t="s">
        <v>2471</v>
      </c>
      <c r="C14" s="421" t="str">
        <f>ORÇAMENTO!E16</f>
        <v>TUBULAÇÃO DE  Ø 1/4"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MÍNIMO.</v>
      </c>
      <c r="D14" s="420" t="str">
        <f>ORÇAMENTO!F16</f>
        <v>M</v>
      </c>
      <c r="E14" s="422" t="s">
        <v>712</v>
      </c>
      <c r="F14" s="423" t="s">
        <v>712</v>
      </c>
      <c r="G14" s="424" t="s">
        <v>712</v>
      </c>
      <c r="H14" s="424" t="s">
        <v>712</v>
      </c>
      <c r="I14" s="424" t="s">
        <v>712</v>
      </c>
      <c r="J14" s="425">
        <f>SUM(J15:J18)</f>
        <v>44.530958000000005</v>
      </c>
    </row>
    <row r="15" spans="1:10" s="325" customFormat="1" ht="28.8">
      <c r="A15" s="410" t="s">
        <v>751</v>
      </c>
      <c r="B15" s="428" t="s">
        <v>2472</v>
      </c>
      <c r="C15" s="412" t="s">
        <v>752</v>
      </c>
      <c r="D15" s="411" t="s">
        <v>415</v>
      </c>
      <c r="E15" s="429">
        <v>0.28000000000000003</v>
      </c>
      <c r="F15" s="414">
        <v>31.51</v>
      </c>
      <c r="G15" s="430">
        <f t="shared" ref="G15:G16" si="9">E15*F15</f>
        <v>8.8228000000000009</v>
      </c>
      <c r="H15" s="416">
        <f>G15*$J$3</f>
        <v>0</v>
      </c>
      <c r="I15" s="416">
        <f t="shared" ref="I15:I16" si="10">(G15+H15)*J$4</f>
        <v>1.7204460000000001</v>
      </c>
      <c r="J15" s="417">
        <f t="shared" ref="J15:J16" si="11">G15+H15+I15</f>
        <v>10.543246000000002</v>
      </c>
    </row>
    <row r="16" spans="1:10" s="325" customFormat="1" ht="28.8">
      <c r="A16" s="410" t="s">
        <v>749</v>
      </c>
      <c r="B16" s="428" t="s">
        <v>2472</v>
      </c>
      <c r="C16" s="412" t="s">
        <v>750</v>
      </c>
      <c r="D16" s="411" t="s">
        <v>415</v>
      </c>
      <c r="E16" s="429">
        <v>0.28000000000000003</v>
      </c>
      <c r="F16" s="414">
        <v>29.22</v>
      </c>
      <c r="G16" s="430">
        <f t="shared" si="9"/>
        <v>8.1816000000000013</v>
      </c>
      <c r="H16" s="416">
        <v>0</v>
      </c>
      <c r="I16" s="416">
        <f t="shared" si="10"/>
        <v>1.5954120000000003</v>
      </c>
      <c r="J16" s="417">
        <f t="shared" si="11"/>
        <v>9.7770120000000009</v>
      </c>
    </row>
    <row r="17" spans="1:10" s="325" customFormat="1" ht="28.8">
      <c r="A17" s="431" t="s">
        <v>714</v>
      </c>
      <c r="B17" s="428" t="s">
        <v>2472</v>
      </c>
      <c r="C17" s="418" t="s">
        <v>713</v>
      </c>
      <c r="D17" s="427" t="s">
        <v>412</v>
      </c>
      <c r="E17" s="432">
        <v>1</v>
      </c>
      <c r="F17" s="433">
        <v>19.02</v>
      </c>
      <c r="G17" s="430">
        <f>E17*F17</f>
        <v>19.02</v>
      </c>
      <c r="H17" s="416">
        <v>0</v>
      </c>
      <c r="I17" s="416">
        <f>(G17+H17)*J$4</f>
        <v>3.7088999999999999</v>
      </c>
      <c r="J17" s="417">
        <f>G17+H17+I17</f>
        <v>22.728899999999999</v>
      </c>
    </row>
    <row r="18" spans="1:10" s="325" customFormat="1" ht="50.25" customHeight="1">
      <c r="A18" s="431" t="s">
        <v>723</v>
      </c>
      <c r="B18" s="428" t="s">
        <v>2472</v>
      </c>
      <c r="C18" s="418" t="s">
        <v>879</v>
      </c>
      <c r="D18" s="427" t="s">
        <v>412</v>
      </c>
      <c r="E18" s="432">
        <v>1</v>
      </c>
      <c r="F18" s="433">
        <v>1.24</v>
      </c>
      <c r="G18" s="430">
        <f>E18*F18</f>
        <v>1.24</v>
      </c>
      <c r="H18" s="416">
        <v>0</v>
      </c>
      <c r="I18" s="416">
        <f>(G18+H18)*J$4</f>
        <v>0.24180000000000001</v>
      </c>
      <c r="J18" s="417">
        <f>G18+H18+I18</f>
        <v>1.4818</v>
      </c>
    </row>
    <row r="19" spans="1:10" ht="100.8">
      <c r="A19" s="419" t="str">
        <f>ORÇAMENTO!C17</f>
        <v>COMPOSIÇÃO</v>
      </c>
      <c r="B19" s="419" t="s">
        <v>2471</v>
      </c>
      <c r="C19" s="421" t="str">
        <f>ORÇAMENTO!E17</f>
        <v>TUBULAÇÃO DE Ø 1/2"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v>
      </c>
      <c r="D19" s="420" t="str">
        <f>ORÇAMENTO!F17</f>
        <v>M</v>
      </c>
      <c r="E19" s="422" t="s">
        <v>712</v>
      </c>
      <c r="F19" s="423" t="s">
        <v>712</v>
      </c>
      <c r="G19" s="424" t="s">
        <v>712</v>
      </c>
      <c r="H19" s="424" t="s">
        <v>712</v>
      </c>
      <c r="I19" s="424" t="s">
        <v>712</v>
      </c>
      <c r="J19" s="425">
        <f>SUM(J20:J23)</f>
        <v>82.735824999999991</v>
      </c>
    </row>
    <row r="20" spans="1:10" s="325" customFormat="1" ht="28.8">
      <c r="A20" s="410" t="s">
        <v>751</v>
      </c>
      <c r="B20" s="428" t="s">
        <v>2472</v>
      </c>
      <c r="C20" s="412" t="s">
        <v>752</v>
      </c>
      <c r="D20" s="411" t="s">
        <v>415</v>
      </c>
      <c r="E20" s="429">
        <v>0.5</v>
      </c>
      <c r="F20" s="414">
        <v>31.51</v>
      </c>
      <c r="G20" s="430">
        <f t="shared" ref="G20:G21" si="12">E20*F20</f>
        <v>15.755000000000001</v>
      </c>
      <c r="H20" s="416">
        <f>G20*$J$3</f>
        <v>0</v>
      </c>
      <c r="I20" s="416">
        <f t="shared" ref="I20:I21" si="13">(G20+H20)*J$4</f>
        <v>3.0722250000000004</v>
      </c>
      <c r="J20" s="417">
        <f t="shared" ref="J20:J21" si="14">G20+H20+I20</f>
        <v>18.827225000000002</v>
      </c>
    </row>
    <row r="21" spans="1:10" s="325" customFormat="1" ht="28.8">
      <c r="A21" s="410" t="s">
        <v>749</v>
      </c>
      <c r="B21" s="428" t="s">
        <v>2472</v>
      </c>
      <c r="C21" s="412" t="s">
        <v>750</v>
      </c>
      <c r="D21" s="411" t="s">
        <v>415</v>
      </c>
      <c r="E21" s="429">
        <v>0.5</v>
      </c>
      <c r="F21" s="414">
        <v>29.22</v>
      </c>
      <c r="G21" s="430">
        <f t="shared" si="12"/>
        <v>14.61</v>
      </c>
      <c r="H21" s="416">
        <v>0</v>
      </c>
      <c r="I21" s="416">
        <f t="shared" si="13"/>
        <v>2.8489499999999999</v>
      </c>
      <c r="J21" s="417">
        <f t="shared" si="14"/>
        <v>17.458949999999998</v>
      </c>
    </row>
    <row r="22" spans="1:10" s="325" customFormat="1" ht="28.8">
      <c r="A22" s="431" t="s">
        <v>718</v>
      </c>
      <c r="B22" s="428" t="s">
        <v>2472</v>
      </c>
      <c r="C22" s="418" t="s">
        <v>715</v>
      </c>
      <c r="D22" s="427" t="s">
        <v>412</v>
      </c>
      <c r="E22" s="432">
        <v>1</v>
      </c>
      <c r="F22" s="433">
        <v>37.299999999999997</v>
      </c>
      <c r="G22" s="430">
        <f>E22*F22</f>
        <v>37.299999999999997</v>
      </c>
      <c r="H22" s="416">
        <v>0</v>
      </c>
      <c r="I22" s="416">
        <f>(G22+H22)*J$4</f>
        <v>7.2734999999999994</v>
      </c>
      <c r="J22" s="417">
        <f>G22+H22+I22</f>
        <v>44.573499999999996</v>
      </c>
    </row>
    <row r="23" spans="1:10" s="325" customFormat="1" ht="43.2">
      <c r="A23" s="431" t="s">
        <v>722</v>
      </c>
      <c r="B23" s="428" t="s">
        <v>2472</v>
      </c>
      <c r="C23" s="418" t="s">
        <v>721</v>
      </c>
      <c r="D23" s="427" t="s">
        <v>412</v>
      </c>
      <c r="E23" s="432">
        <v>1</v>
      </c>
      <c r="F23" s="433">
        <v>1.57</v>
      </c>
      <c r="G23" s="430">
        <f>E23*F23</f>
        <v>1.57</v>
      </c>
      <c r="H23" s="416">
        <v>0</v>
      </c>
      <c r="I23" s="416">
        <f>(G23+H23)*J$4</f>
        <v>0.30615000000000003</v>
      </c>
      <c r="J23" s="417">
        <f>G23+H23+I23</f>
        <v>1.87615</v>
      </c>
    </row>
    <row r="24" spans="1:10" ht="158.25" customHeight="1">
      <c r="A24" s="419" t="str">
        <f>ORÇAMENTO!C18</f>
        <v>COMPOSIÇÃO</v>
      </c>
      <c r="B24" s="419" t="s">
        <v>2471</v>
      </c>
      <c r="C24" s="421" t="str">
        <f>ORÇAMENTO!E18</f>
        <v>TUBULAÇÃO DE Ø 3/8"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v>
      </c>
      <c r="D24" s="420" t="str">
        <f>ORÇAMENTO!F18</f>
        <v>M</v>
      </c>
      <c r="E24" s="422" t="s">
        <v>712</v>
      </c>
      <c r="F24" s="423" t="s">
        <v>712</v>
      </c>
      <c r="G24" s="424" t="s">
        <v>712</v>
      </c>
      <c r="H24" s="424" t="s">
        <v>712</v>
      </c>
      <c r="I24" s="424" t="s">
        <v>712</v>
      </c>
      <c r="J24" s="425">
        <f>SUM(J25:J28)</f>
        <v>63.719789999999996</v>
      </c>
    </row>
    <row r="25" spans="1:10" s="325" customFormat="1" ht="28.8">
      <c r="A25" s="410" t="s">
        <v>751</v>
      </c>
      <c r="B25" s="428" t="s">
        <v>2472</v>
      </c>
      <c r="C25" s="412" t="s">
        <v>752</v>
      </c>
      <c r="D25" s="411" t="s">
        <v>415</v>
      </c>
      <c r="E25" s="429">
        <v>0.4</v>
      </c>
      <c r="F25" s="414">
        <v>31.51</v>
      </c>
      <c r="G25" s="430">
        <f t="shared" ref="G25:G26" si="15">E25*F25</f>
        <v>12.604000000000001</v>
      </c>
      <c r="H25" s="416">
        <f>G25*$J$3</f>
        <v>0</v>
      </c>
      <c r="I25" s="416">
        <f t="shared" ref="I25:I26" si="16">(G25+H25)*J$4</f>
        <v>2.4577800000000001</v>
      </c>
      <c r="J25" s="417">
        <f t="shared" ref="J25:J26" si="17">G25+H25+I25</f>
        <v>15.061780000000001</v>
      </c>
    </row>
    <row r="26" spans="1:10" s="325" customFormat="1" ht="28.8">
      <c r="A26" s="410" t="s">
        <v>749</v>
      </c>
      <c r="B26" s="428" t="s">
        <v>2472</v>
      </c>
      <c r="C26" s="412" t="s">
        <v>750</v>
      </c>
      <c r="D26" s="411" t="s">
        <v>415</v>
      </c>
      <c r="E26" s="429">
        <v>0.4</v>
      </c>
      <c r="F26" s="414">
        <v>29.22</v>
      </c>
      <c r="G26" s="430">
        <f t="shared" si="15"/>
        <v>11.688000000000001</v>
      </c>
      <c r="H26" s="416">
        <v>0</v>
      </c>
      <c r="I26" s="416">
        <f t="shared" si="16"/>
        <v>2.2791600000000001</v>
      </c>
      <c r="J26" s="417">
        <f t="shared" si="17"/>
        <v>13.96716</v>
      </c>
    </row>
    <row r="27" spans="1:10" s="325" customFormat="1" ht="28.8">
      <c r="A27" s="431" t="s">
        <v>717</v>
      </c>
      <c r="B27" s="428" t="s">
        <v>2472</v>
      </c>
      <c r="C27" s="418" t="s">
        <v>716</v>
      </c>
      <c r="D27" s="427" t="s">
        <v>412</v>
      </c>
      <c r="E27" s="432">
        <v>1</v>
      </c>
      <c r="F27" s="433">
        <v>27.5</v>
      </c>
      <c r="G27" s="430">
        <f t="shared" ref="G27:G39" si="18">E27*F27</f>
        <v>27.5</v>
      </c>
      <c r="H27" s="416">
        <v>0</v>
      </c>
      <c r="I27" s="416">
        <f t="shared" ref="I27:I39" si="19">(G27+H27)*J$4</f>
        <v>5.3624999999999998</v>
      </c>
      <c r="J27" s="417">
        <f t="shared" ref="J27:J39" si="20">G27+H27+I27</f>
        <v>32.862499999999997</v>
      </c>
    </row>
    <row r="28" spans="1:10" s="325" customFormat="1" ht="43.2">
      <c r="A28" s="431" t="s">
        <v>720</v>
      </c>
      <c r="B28" s="428" t="s">
        <v>2472</v>
      </c>
      <c r="C28" s="418" t="s">
        <v>719</v>
      </c>
      <c r="D28" s="427" t="s">
        <v>412</v>
      </c>
      <c r="E28" s="432">
        <v>1</v>
      </c>
      <c r="F28" s="433">
        <v>1.53</v>
      </c>
      <c r="G28" s="430">
        <f t="shared" si="18"/>
        <v>1.53</v>
      </c>
      <c r="H28" s="416">
        <v>0</v>
      </c>
      <c r="I28" s="416">
        <f t="shared" si="19"/>
        <v>0.29835</v>
      </c>
      <c r="J28" s="417">
        <f t="shared" si="20"/>
        <v>1.8283499999999999</v>
      </c>
    </row>
    <row r="29" spans="1:10" ht="153" customHeight="1">
      <c r="A29" s="419" t="str">
        <f>ORÇAMENTO!C19</f>
        <v>COMPOSIÇÃO</v>
      </c>
      <c r="B29" s="420" t="str">
        <f>ORÇAMENTO!D19</f>
        <v xml:space="preserve">SINAPI SP - 08/2023 </v>
      </c>
      <c r="C29" s="421" t="str">
        <f>ORÇAMENTO!E19</f>
        <v>TUBULAÇÃO DE Ø 5/8"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v>
      </c>
      <c r="D29" s="420" t="str">
        <f>ORÇAMENTO!F19</f>
        <v>M</v>
      </c>
      <c r="E29" s="422" t="s">
        <v>712</v>
      </c>
      <c r="F29" s="423" t="s">
        <v>712</v>
      </c>
      <c r="G29" s="424" t="s">
        <v>712</v>
      </c>
      <c r="H29" s="424" t="s">
        <v>712</v>
      </c>
      <c r="I29" s="424" t="s">
        <v>712</v>
      </c>
      <c r="J29" s="425">
        <f>SUM(J30:J33)</f>
        <v>102.09840999999999</v>
      </c>
    </row>
    <row r="30" spans="1:10" s="325" customFormat="1" ht="28.8">
      <c r="A30" s="410" t="s">
        <v>751</v>
      </c>
      <c r="B30" s="411" t="s">
        <v>2471</v>
      </c>
      <c r="C30" s="412" t="s">
        <v>752</v>
      </c>
      <c r="D30" s="411" t="s">
        <v>415</v>
      </c>
      <c r="E30" s="429">
        <v>0.6</v>
      </c>
      <c r="F30" s="414">
        <v>31.51</v>
      </c>
      <c r="G30" s="430">
        <f t="shared" ref="G30:G31" si="21">E30*F30</f>
        <v>18.905999999999999</v>
      </c>
      <c r="H30" s="416">
        <f>G30*$J$3</f>
        <v>0</v>
      </c>
      <c r="I30" s="416">
        <f t="shared" ref="I30:I31" si="22">(G30+H30)*J$4</f>
        <v>3.6866699999999999</v>
      </c>
      <c r="J30" s="417">
        <f t="shared" ref="J30:J31" si="23">G30+H30+I30</f>
        <v>22.592669999999998</v>
      </c>
    </row>
    <row r="31" spans="1:10" s="325" customFormat="1" ht="28.8">
      <c r="A31" s="410" t="s">
        <v>749</v>
      </c>
      <c r="B31" s="411" t="s">
        <v>2471</v>
      </c>
      <c r="C31" s="412" t="s">
        <v>750</v>
      </c>
      <c r="D31" s="411" t="s">
        <v>415</v>
      </c>
      <c r="E31" s="429">
        <v>0.6</v>
      </c>
      <c r="F31" s="414">
        <v>29.22</v>
      </c>
      <c r="G31" s="430">
        <f t="shared" si="21"/>
        <v>17.532</v>
      </c>
      <c r="H31" s="416">
        <v>0</v>
      </c>
      <c r="I31" s="416">
        <f t="shared" si="22"/>
        <v>3.4187400000000001</v>
      </c>
      <c r="J31" s="417">
        <f t="shared" si="23"/>
        <v>20.95074</v>
      </c>
    </row>
    <row r="32" spans="1:10" s="335" customFormat="1" ht="59.25" customHeight="1">
      <c r="A32" s="431">
        <v>39665</v>
      </c>
      <c r="B32" s="411" t="s">
        <v>2471</v>
      </c>
      <c r="C32" s="472" t="s">
        <v>1134</v>
      </c>
      <c r="D32" s="434" t="s">
        <v>412</v>
      </c>
      <c r="E32" s="429">
        <v>1</v>
      </c>
      <c r="F32" s="436">
        <v>46.39</v>
      </c>
      <c r="G32" s="437">
        <f t="shared" si="18"/>
        <v>46.39</v>
      </c>
      <c r="H32" s="437">
        <v>0</v>
      </c>
      <c r="I32" s="437">
        <f t="shared" si="19"/>
        <v>9.046050000000001</v>
      </c>
      <c r="J32" s="438">
        <f t="shared" si="20"/>
        <v>55.436050000000002</v>
      </c>
    </row>
    <row r="33" spans="1:10" s="325" customFormat="1" ht="43.2">
      <c r="A33" s="431">
        <v>39718</v>
      </c>
      <c r="B33" s="428" t="s">
        <v>2472</v>
      </c>
      <c r="C33" s="473" t="s">
        <v>1135</v>
      </c>
      <c r="D33" s="427" t="s">
        <v>412</v>
      </c>
      <c r="E33" s="432">
        <v>1</v>
      </c>
      <c r="F33" s="433">
        <v>2.61</v>
      </c>
      <c r="G33" s="430">
        <f t="shared" ref="G33" si="24">E33*F33</f>
        <v>2.61</v>
      </c>
      <c r="H33" s="416">
        <v>0</v>
      </c>
      <c r="I33" s="416">
        <f t="shared" ref="I33" si="25">(G33+H33)*J$4</f>
        <v>0.50895000000000001</v>
      </c>
      <c r="J33" s="417">
        <f t="shared" ref="J33" si="26">G33+H33+I33</f>
        <v>3.1189499999999999</v>
      </c>
    </row>
    <row r="34" spans="1:10" ht="28.8">
      <c r="A34" s="420" t="s">
        <v>1169</v>
      </c>
      <c r="B34" s="420" t="s">
        <v>2473</v>
      </c>
      <c r="C34" s="421" t="s">
        <v>1170</v>
      </c>
      <c r="D34" s="420" t="str">
        <f>ORÇAMENTO!F20</f>
        <v>M</v>
      </c>
      <c r="E34" s="422" t="s">
        <v>712</v>
      </c>
      <c r="F34" s="423" t="s">
        <v>712</v>
      </c>
      <c r="G34" s="424" t="s">
        <v>712</v>
      </c>
      <c r="H34" s="424" t="s">
        <v>712</v>
      </c>
      <c r="I34" s="424" t="s">
        <v>712</v>
      </c>
      <c r="J34" s="425">
        <f>SUM(J35:J35)</f>
        <v>183.39664999999999</v>
      </c>
    </row>
    <row r="35" spans="1:10" s="325" customFormat="1" ht="28.8">
      <c r="A35" s="410" t="s">
        <v>1169</v>
      </c>
      <c r="B35" s="428" t="s">
        <v>2473</v>
      </c>
      <c r="C35" s="474" t="s">
        <v>1170</v>
      </c>
      <c r="D35" s="411" t="s">
        <v>412</v>
      </c>
      <c r="E35" s="429">
        <v>1</v>
      </c>
      <c r="F35" s="414">
        <v>153.47</v>
      </c>
      <c r="G35" s="430">
        <f t="shared" ref="G35" si="27">E35*F35</f>
        <v>153.47</v>
      </c>
      <c r="H35" s="416">
        <v>0</v>
      </c>
      <c r="I35" s="416">
        <f t="shared" ref="I35" si="28">(G35+H35)*J$4</f>
        <v>29.926650000000002</v>
      </c>
      <c r="J35" s="417">
        <f t="shared" ref="J35" si="29">G35+H35+I35</f>
        <v>183.39664999999999</v>
      </c>
    </row>
    <row r="36" spans="1:10" ht="128.25" customHeight="1">
      <c r="A36" s="419" t="str">
        <f>ORÇAMENTO!C21</f>
        <v>COMPOSIÇÃO</v>
      </c>
      <c r="B36" s="419" t="s">
        <v>2472</v>
      </c>
      <c r="C36" s="421" t="str">
        <f>ORÇAMENTO!E21</f>
        <v>REDE DE DUTOS EM CHAPA GALVANIZADA, ESPESSURA #26. INTERLIGAÇÃO POR MEIO DE CHAVETAS "S" OU BARRAS ESPECIAIS,  SEM ISOLAMENTO TÉRMICO. APOIOADA DIRETAMENTE NA ESTRUTURA POR MEIO DE PENDURAIS RESISTENTES E PINTADO COM TINTA PROTETORA ANTI-CORROSIVA.</v>
      </c>
      <c r="D36" s="420" t="str">
        <f>ORÇAMENTO!F22</f>
        <v>KG</v>
      </c>
      <c r="E36" s="422" t="s">
        <v>712</v>
      </c>
      <c r="F36" s="423" t="s">
        <v>712</v>
      </c>
      <c r="G36" s="424" t="s">
        <v>712</v>
      </c>
      <c r="H36" s="424" t="s">
        <v>712</v>
      </c>
      <c r="I36" s="424" t="s">
        <v>712</v>
      </c>
      <c r="J36" s="425">
        <f>SUM(J37:J39)</f>
        <v>101.5033</v>
      </c>
    </row>
    <row r="37" spans="1:10" s="325" customFormat="1" ht="28.8">
      <c r="A37" s="410">
        <v>88264</v>
      </c>
      <c r="B37" s="428" t="s">
        <v>2472</v>
      </c>
      <c r="C37" s="412" t="s">
        <v>428</v>
      </c>
      <c r="D37" s="411" t="s">
        <v>415</v>
      </c>
      <c r="E37" s="413">
        <v>1</v>
      </c>
      <c r="F37" s="414">
        <v>40.42</v>
      </c>
      <c r="G37" s="416">
        <f>E37*F37</f>
        <v>40.42</v>
      </c>
      <c r="H37" s="416">
        <f>G37*$J$3</f>
        <v>0</v>
      </c>
      <c r="I37" s="416">
        <f>(G37+H37)*J$4</f>
        <v>7.8819000000000008</v>
      </c>
      <c r="J37" s="417">
        <f>G37+H37+I37</f>
        <v>48.301900000000003</v>
      </c>
    </row>
    <row r="38" spans="1:10" s="325" customFormat="1" ht="28.8">
      <c r="A38" s="410">
        <v>88247</v>
      </c>
      <c r="B38" s="428" t="s">
        <v>2472</v>
      </c>
      <c r="C38" s="412" t="s">
        <v>426</v>
      </c>
      <c r="D38" s="411" t="s">
        <v>415</v>
      </c>
      <c r="E38" s="413">
        <v>1</v>
      </c>
      <c r="F38" s="414">
        <v>34.58</v>
      </c>
      <c r="G38" s="416">
        <f>E38*F38</f>
        <v>34.58</v>
      </c>
      <c r="H38" s="416">
        <f>G38*$J$3</f>
        <v>0</v>
      </c>
      <c r="I38" s="416">
        <f>(G38+H38)*J$4</f>
        <v>6.7431000000000001</v>
      </c>
      <c r="J38" s="417">
        <f>G38+H38+I38</f>
        <v>41.323099999999997</v>
      </c>
    </row>
    <row r="39" spans="1:10" s="335" customFormat="1" ht="28.8">
      <c r="A39" s="431">
        <v>1328</v>
      </c>
      <c r="B39" s="428" t="s">
        <v>2472</v>
      </c>
      <c r="C39" s="435" t="s">
        <v>1111</v>
      </c>
      <c r="D39" s="434" t="s">
        <v>413</v>
      </c>
      <c r="E39" s="429">
        <v>1</v>
      </c>
      <c r="F39" s="436">
        <v>9.94</v>
      </c>
      <c r="G39" s="437">
        <f t="shared" si="18"/>
        <v>9.94</v>
      </c>
      <c r="H39" s="437">
        <v>0</v>
      </c>
      <c r="I39" s="437">
        <f t="shared" si="19"/>
        <v>1.9382999999999999</v>
      </c>
      <c r="J39" s="438">
        <f t="shared" si="20"/>
        <v>11.878299999999999</v>
      </c>
    </row>
    <row r="40" spans="1:10" ht="112.5" customHeight="1">
      <c r="A40" s="419" t="s">
        <v>414</v>
      </c>
      <c r="B40" s="419" t="s">
        <v>2472</v>
      </c>
      <c r="C40" s="421" t="str">
        <f>ORÇAMENTO!E22</f>
        <v>REDE DE DUTOS EM CHAPA GALVANIZADA, ESPESSURA #24. INTERLIGAÇÃO POR MEIO DE CHAVETAS "S" OU BARRAS ESPECIAIS,  SEM ISOLAMENTO TÉRMICO. APOIOADA DIRETAMENTE NA ESTRUTURA POR MEIO DE PENDURAIS RESISTENTES E PINTADO COM TINTA PROTETORA ANTI-CORROSIVA.</v>
      </c>
      <c r="D40" s="420" t="str">
        <f>ORÇAMENTO!F22</f>
        <v>KG</v>
      </c>
      <c r="E40" s="422" t="s">
        <v>712</v>
      </c>
      <c r="F40" s="423" t="s">
        <v>712</v>
      </c>
      <c r="G40" s="424" t="s">
        <v>712</v>
      </c>
      <c r="H40" s="424" t="s">
        <v>712</v>
      </c>
      <c r="I40" s="424" t="s">
        <v>712</v>
      </c>
      <c r="J40" s="425">
        <f>SUM(J41:J43)</f>
        <v>102.24420000000001</v>
      </c>
    </row>
    <row r="41" spans="1:10" s="325" customFormat="1" ht="28.8">
      <c r="A41" s="410">
        <v>88264</v>
      </c>
      <c r="B41" s="428" t="s">
        <v>2472</v>
      </c>
      <c r="C41" s="412" t="s">
        <v>428</v>
      </c>
      <c r="D41" s="411" t="s">
        <v>415</v>
      </c>
      <c r="E41" s="413">
        <v>1</v>
      </c>
      <c r="F41" s="414">
        <v>40.42</v>
      </c>
      <c r="G41" s="416">
        <f>E41*F41</f>
        <v>40.42</v>
      </c>
      <c r="H41" s="416">
        <f>G41*$J$3</f>
        <v>0</v>
      </c>
      <c r="I41" s="416">
        <f>(G41+H41)*J$4</f>
        <v>7.8819000000000008</v>
      </c>
      <c r="J41" s="417">
        <f>G41+H41+I41</f>
        <v>48.301900000000003</v>
      </c>
    </row>
    <row r="42" spans="1:10" s="325" customFormat="1" ht="28.8">
      <c r="A42" s="410">
        <v>88247</v>
      </c>
      <c r="B42" s="428" t="s">
        <v>2472</v>
      </c>
      <c r="C42" s="412" t="s">
        <v>426</v>
      </c>
      <c r="D42" s="411" t="s">
        <v>415</v>
      </c>
      <c r="E42" s="413">
        <v>1</v>
      </c>
      <c r="F42" s="414">
        <v>34.58</v>
      </c>
      <c r="G42" s="416">
        <f>E42*F42</f>
        <v>34.58</v>
      </c>
      <c r="H42" s="416">
        <f>G42*$J$3</f>
        <v>0</v>
      </c>
      <c r="I42" s="416">
        <f>(G42+H42)*J$4</f>
        <v>6.7431000000000001</v>
      </c>
      <c r="J42" s="417">
        <f>G42+H42+I42</f>
        <v>41.323099999999997</v>
      </c>
    </row>
    <row r="43" spans="1:10" s="325" customFormat="1" ht="28.8">
      <c r="A43" s="431">
        <v>1327</v>
      </c>
      <c r="B43" s="428" t="s">
        <v>2472</v>
      </c>
      <c r="C43" s="418" t="s">
        <v>1112</v>
      </c>
      <c r="D43" s="427" t="s">
        <v>413</v>
      </c>
      <c r="E43" s="432">
        <v>1</v>
      </c>
      <c r="F43" s="436">
        <v>10.56</v>
      </c>
      <c r="G43" s="430">
        <f>E43*F43</f>
        <v>10.56</v>
      </c>
      <c r="H43" s="416">
        <v>0</v>
      </c>
      <c r="I43" s="416">
        <f>(G43+H43)*J$4</f>
        <v>2.0592000000000001</v>
      </c>
      <c r="J43" s="417">
        <f>G43+H43+I43</f>
        <v>12.619200000000001</v>
      </c>
    </row>
    <row r="44" spans="1:10" ht="28.8">
      <c r="A44" s="420" t="s">
        <v>1173</v>
      </c>
      <c r="B44" s="420" t="s">
        <v>2473</v>
      </c>
      <c r="C44" s="421" t="s">
        <v>1174</v>
      </c>
      <c r="D44" s="420" t="s">
        <v>15</v>
      </c>
      <c r="E44" s="422"/>
      <c r="F44" s="423"/>
      <c r="G44" s="424"/>
      <c r="H44" s="424"/>
      <c r="I44" s="424"/>
      <c r="J44" s="425">
        <f>SUM(J45:J45)</f>
        <v>297.45526978125002</v>
      </c>
    </row>
    <row r="45" spans="1:10" s="325" customFormat="1" ht="45" customHeight="1">
      <c r="A45" s="431" t="s">
        <v>1173</v>
      </c>
      <c r="B45" s="428" t="s">
        <v>2473</v>
      </c>
      <c r="C45" s="473" t="s">
        <v>1175</v>
      </c>
      <c r="D45" s="478" t="s">
        <v>541</v>
      </c>
      <c r="E45" s="432">
        <f>0.525*0.225</f>
        <v>0.11812500000000001</v>
      </c>
      <c r="F45" s="436">
        <v>2107.23</v>
      </c>
      <c r="G45" s="430">
        <f>E45*F45</f>
        <v>248.91654375000002</v>
      </c>
      <c r="H45" s="416">
        <v>0</v>
      </c>
      <c r="I45" s="416">
        <f>(G45+H45)*J$4</f>
        <v>48.538726031250008</v>
      </c>
      <c r="J45" s="417">
        <f>G45+H45+I45</f>
        <v>297.45526978125002</v>
      </c>
    </row>
    <row r="46" spans="1:10" ht="28.8">
      <c r="A46" s="420" t="s">
        <v>1171</v>
      </c>
      <c r="B46" s="420" t="s">
        <v>2473</v>
      </c>
      <c r="C46" s="421" t="s">
        <v>1172</v>
      </c>
      <c r="D46" s="420" t="s">
        <v>15</v>
      </c>
      <c r="E46" s="422"/>
      <c r="F46" s="423"/>
      <c r="G46" s="424"/>
      <c r="H46" s="424"/>
      <c r="I46" s="424"/>
      <c r="J46" s="425">
        <f>SUM(J47:J47)</f>
        <v>59.68682184375001</v>
      </c>
    </row>
    <row r="47" spans="1:10" s="325" customFormat="1" ht="45" customHeight="1">
      <c r="A47" s="431" t="s">
        <v>1171</v>
      </c>
      <c r="B47" s="428" t="s">
        <v>2473</v>
      </c>
      <c r="C47" s="473" t="s">
        <v>1176</v>
      </c>
      <c r="D47" s="478" t="s">
        <v>541</v>
      </c>
      <c r="E47" s="432">
        <f>0.225*0.075</f>
        <v>1.6875000000000001E-2</v>
      </c>
      <c r="F47" s="436">
        <v>2959.83</v>
      </c>
      <c r="G47" s="430">
        <f>E47*F47</f>
        <v>49.947131250000005</v>
      </c>
      <c r="H47" s="416">
        <v>0</v>
      </c>
      <c r="I47" s="416">
        <f>(G47+H47)*J$4</f>
        <v>9.7396905937500016</v>
      </c>
      <c r="J47" s="417">
        <f>G47+H47+I47</f>
        <v>59.68682184375001</v>
      </c>
    </row>
    <row r="48" spans="1:10" ht="28.8">
      <c r="A48" s="420" t="s">
        <v>1171</v>
      </c>
      <c r="B48" s="420" t="s">
        <v>2473</v>
      </c>
      <c r="C48" s="421" t="s">
        <v>1172</v>
      </c>
      <c r="D48" s="420" t="s">
        <v>15</v>
      </c>
      <c r="E48" s="422"/>
      <c r="F48" s="423"/>
      <c r="G48" s="424"/>
      <c r="H48" s="424"/>
      <c r="I48" s="424"/>
      <c r="J48" s="425">
        <f>SUM(J49:J49)</f>
        <v>99.035911800000008</v>
      </c>
    </row>
    <row r="49" spans="1:10" s="325" customFormat="1" ht="45" customHeight="1">
      <c r="A49" s="431" t="s">
        <v>1171</v>
      </c>
      <c r="B49" s="428" t="s">
        <v>2473</v>
      </c>
      <c r="C49" s="473" t="s">
        <v>1176</v>
      </c>
      <c r="D49" s="478" t="s">
        <v>541</v>
      </c>
      <c r="E49" s="432">
        <v>2.8000000000000001E-2</v>
      </c>
      <c r="F49" s="436">
        <v>2959.83</v>
      </c>
      <c r="G49" s="430">
        <f>E49*F49</f>
        <v>82.875240000000005</v>
      </c>
      <c r="H49" s="416">
        <v>0</v>
      </c>
      <c r="I49" s="416">
        <f>(G49+H49)*J$4</f>
        <v>16.160671800000003</v>
      </c>
      <c r="J49" s="417">
        <f>G49+H49+I49</f>
        <v>99.035911800000008</v>
      </c>
    </row>
    <row r="50" spans="1:10" ht="28.8">
      <c r="A50" s="420" t="s">
        <v>1171</v>
      </c>
      <c r="B50" s="420" t="s">
        <v>2473</v>
      </c>
      <c r="C50" s="421" t="s">
        <v>1172</v>
      </c>
      <c r="D50" s="420" t="s">
        <v>15</v>
      </c>
      <c r="E50" s="422"/>
      <c r="F50" s="423"/>
      <c r="G50" s="424"/>
      <c r="H50" s="424"/>
      <c r="I50" s="424"/>
      <c r="J50" s="425">
        <f>SUM(J51:J51)</f>
        <v>143.69049703125</v>
      </c>
    </row>
    <row r="51" spans="1:10" s="325" customFormat="1" ht="45" customHeight="1">
      <c r="A51" s="431" t="s">
        <v>1171</v>
      </c>
      <c r="B51" s="428" t="s">
        <v>2473</v>
      </c>
      <c r="C51" s="473" t="s">
        <v>1176</v>
      </c>
      <c r="D51" s="478" t="s">
        <v>541</v>
      </c>
      <c r="E51" s="432">
        <f>0.325*0.125</f>
        <v>4.0625000000000001E-2</v>
      </c>
      <c r="F51" s="436">
        <v>2959.83</v>
      </c>
      <c r="G51" s="430">
        <f>E51*F51</f>
        <v>120.24309375</v>
      </c>
      <c r="H51" s="416">
        <v>0</v>
      </c>
      <c r="I51" s="416">
        <f>(G51+H51)*J$4</f>
        <v>23.447403281250001</v>
      </c>
      <c r="J51" s="417">
        <f>G51+H51+I51</f>
        <v>143.69049703125</v>
      </c>
    </row>
    <row r="52" spans="1:10" ht="28.8">
      <c r="A52" s="419" t="s">
        <v>1177</v>
      </c>
      <c r="B52" s="420" t="s">
        <v>2473</v>
      </c>
      <c r="C52" s="421" t="s">
        <v>1178</v>
      </c>
      <c r="D52" s="420" t="str">
        <f>ORÇAMENTO!F27</f>
        <v>UNID</v>
      </c>
      <c r="E52" s="422"/>
      <c r="F52" s="423"/>
      <c r="G52" s="424"/>
      <c r="H52" s="424"/>
      <c r="I52" s="424"/>
      <c r="J52" s="425">
        <f>SUM(J53:J53)</f>
        <v>227.80434374999999</v>
      </c>
    </row>
    <row r="53" spans="1:10" s="335" customFormat="1" ht="28.8">
      <c r="A53" s="431" t="s">
        <v>1177</v>
      </c>
      <c r="B53" s="475" t="s">
        <v>2473</v>
      </c>
      <c r="C53" s="435" t="s">
        <v>1178</v>
      </c>
      <c r="D53" s="475" t="s">
        <v>541</v>
      </c>
      <c r="E53" s="429">
        <f>0.45*0.25</f>
        <v>0.1125</v>
      </c>
      <c r="F53" s="436">
        <v>1694.5</v>
      </c>
      <c r="G53" s="437">
        <f>E53*F53</f>
        <v>190.63124999999999</v>
      </c>
      <c r="H53" s="437">
        <v>0</v>
      </c>
      <c r="I53" s="437">
        <f>(G53+H53)*J$4</f>
        <v>37.17309375</v>
      </c>
      <c r="J53" s="438">
        <f>G53+H53+I53</f>
        <v>227.80434374999999</v>
      </c>
    </row>
    <row r="54" spans="1:10" ht="28.8">
      <c r="A54" s="419" t="s">
        <v>1177</v>
      </c>
      <c r="B54" s="420" t="s">
        <v>2473</v>
      </c>
      <c r="C54" s="421" t="s">
        <v>1178</v>
      </c>
      <c r="D54" s="420" t="str">
        <f>ORÇAMENTO!F28</f>
        <v>UNID</v>
      </c>
      <c r="E54" s="422"/>
      <c r="F54" s="423"/>
      <c r="G54" s="424"/>
      <c r="H54" s="424"/>
      <c r="I54" s="424"/>
      <c r="J54" s="425">
        <f>SUM(J55:J55)</f>
        <v>111.37101250000002</v>
      </c>
    </row>
    <row r="55" spans="1:10" s="335" customFormat="1" ht="28.8">
      <c r="A55" s="431" t="s">
        <v>1177</v>
      </c>
      <c r="B55" s="475" t="s">
        <v>2473</v>
      </c>
      <c r="C55" s="435" t="s">
        <v>1178</v>
      </c>
      <c r="D55" s="475" t="s">
        <v>541</v>
      </c>
      <c r="E55" s="429">
        <f>0.55*0.1</f>
        <v>5.5000000000000007E-2</v>
      </c>
      <c r="F55" s="436">
        <v>1694.5</v>
      </c>
      <c r="G55" s="437">
        <f>E55*F55</f>
        <v>93.197500000000019</v>
      </c>
      <c r="H55" s="437">
        <v>0</v>
      </c>
      <c r="I55" s="437">
        <f>(G55+H55)*J$4</f>
        <v>18.173512500000005</v>
      </c>
      <c r="J55" s="438">
        <f>G55+H55+I55</f>
        <v>111.37101250000002</v>
      </c>
    </row>
    <row r="56" spans="1:10" ht="126" customHeight="1">
      <c r="A56" s="419" t="s">
        <v>1177</v>
      </c>
      <c r="B56" s="420" t="s">
        <v>2473</v>
      </c>
      <c r="C56" s="421" t="s">
        <v>1178</v>
      </c>
      <c r="D56" s="420" t="str">
        <f>ORÇAMENTO!F29</f>
        <v>UNID</v>
      </c>
      <c r="E56" s="422"/>
      <c r="F56" s="423"/>
      <c r="G56" s="424"/>
      <c r="H56" s="424"/>
      <c r="I56" s="424"/>
      <c r="J56" s="425">
        <f>SUM(J57:J57)</f>
        <v>20.249275000000004</v>
      </c>
    </row>
    <row r="57" spans="1:10" s="335" customFormat="1" ht="28.8">
      <c r="A57" s="431" t="s">
        <v>1177</v>
      </c>
      <c r="B57" s="475" t="s">
        <v>2473</v>
      </c>
      <c r="C57" s="435" t="s">
        <v>1178</v>
      </c>
      <c r="D57" s="475" t="s">
        <v>541</v>
      </c>
      <c r="E57" s="429">
        <f>0.1*0.1</f>
        <v>1.0000000000000002E-2</v>
      </c>
      <c r="F57" s="436">
        <v>1694.5</v>
      </c>
      <c r="G57" s="437">
        <f>E57*F57</f>
        <v>16.945000000000004</v>
      </c>
      <c r="H57" s="437">
        <v>0</v>
      </c>
      <c r="I57" s="437">
        <f>(G57+H57)*J$4</f>
        <v>3.304275000000001</v>
      </c>
      <c r="J57" s="438">
        <f>G57+H57+I57</f>
        <v>20.249275000000004</v>
      </c>
    </row>
    <row r="58" spans="1:10" ht="28.8">
      <c r="A58" s="419" t="str">
        <f>ORÇAMENTO!C30</f>
        <v>COMPOSIÇÃO</v>
      </c>
      <c r="B58" s="419" t="s">
        <v>2472</v>
      </c>
      <c r="C58" s="439" t="str">
        <f>ORÇAMENTO!E30</f>
        <v>CABO INSTRUMENTAÇÃO PARA SISTEMA SPLIT: CABO PP PVC/EB 105°C – 750 V DE 06 VIAS #2,5MM².</v>
      </c>
      <c r="D58" s="419" t="str">
        <f>ORÇAMENTO!F30</f>
        <v>M</v>
      </c>
      <c r="E58" s="422"/>
      <c r="F58" s="423"/>
      <c r="G58" s="424"/>
      <c r="H58" s="424"/>
      <c r="I58" s="424"/>
      <c r="J58" s="425">
        <f>SUM(J59:J61)</f>
        <v>37.641304999999996</v>
      </c>
    </row>
    <row r="59" spans="1:10" s="325" customFormat="1" ht="28.8">
      <c r="A59" s="410" t="s">
        <v>751</v>
      </c>
      <c r="B59" s="428" t="s">
        <v>2472</v>
      </c>
      <c r="C59" s="412" t="s">
        <v>752</v>
      </c>
      <c r="D59" s="411" t="s">
        <v>415</v>
      </c>
      <c r="E59" s="429">
        <v>0.3</v>
      </c>
      <c r="F59" s="414">
        <v>31.51</v>
      </c>
      <c r="G59" s="416">
        <f>E59*F59</f>
        <v>9.4529999999999994</v>
      </c>
      <c r="H59" s="416">
        <f>G59*$J$3</f>
        <v>0</v>
      </c>
      <c r="I59" s="416">
        <f>(G59+H59)*J$4</f>
        <v>1.8433349999999999</v>
      </c>
      <c r="J59" s="417">
        <f>G59+H59+I59</f>
        <v>11.296334999999999</v>
      </c>
    </row>
    <row r="60" spans="1:10" s="325" customFormat="1" ht="28.8">
      <c r="A60" s="410" t="s">
        <v>749</v>
      </c>
      <c r="B60" s="428" t="s">
        <v>2472</v>
      </c>
      <c r="C60" s="412" t="s">
        <v>750</v>
      </c>
      <c r="D60" s="411" t="s">
        <v>415</v>
      </c>
      <c r="E60" s="429">
        <v>0.3</v>
      </c>
      <c r="F60" s="414">
        <v>29.22</v>
      </c>
      <c r="G60" s="416">
        <f>E60*F60</f>
        <v>8.766</v>
      </c>
      <c r="H60" s="416">
        <v>0</v>
      </c>
      <c r="I60" s="416">
        <f>(G60+H60)*J$4</f>
        <v>1.7093700000000001</v>
      </c>
      <c r="J60" s="417">
        <f>G60+H60+I60</f>
        <v>10.47537</v>
      </c>
    </row>
    <row r="61" spans="1:10" s="335" customFormat="1" ht="43.2">
      <c r="A61" s="410">
        <v>39258</v>
      </c>
      <c r="B61" s="428" t="s">
        <v>2472</v>
      </c>
      <c r="C61" s="472" t="s">
        <v>1136</v>
      </c>
      <c r="D61" s="434" t="s">
        <v>412</v>
      </c>
      <c r="E61" s="429">
        <v>2</v>
      </c>
      <c r="F61" s="436">
        <v>6.64</v>
      </c>
      <c r="G61" s="437">
        <f>E61*F61</f>
        <v>13.28</v>
      </c>
      <c r="H61" s="437">
        <v>0</v>
      </c>
      <c r="I61" s="437">
        <f>(G61+H61)*J$4</f>
        <v>2.5895999999999999</v>
      </c>
      <c r="J61" s="438">
        <f>G61+H61+I61</f>
        <v>15.869599999999998</v>
      </c>
    </row>
    <row r="62" spans="1:10" ht="28.8">
      <c r="A62" s="419" t="str">
        <f>ORÇAMENTO!C31</f>
        <v>COMPOSIÇÃO</v>
      </c>
      <c r="B62" s="420" t="s">
        <v>2471</v>
      </c>
      <c r="C62" s="421" t="str">
        <f>ORÇAMENTO!E31</f>
        <v>RETIRADAS DE APARELHOS E EQUIPAMENTOS</v>
      </c>
      <c r="D62" s="420" t="str">
        <f>ORÇAMENTO!F31</f>
        <v>H</v>
      </c>
      <c r="E62" s="422"/>
      <c r="F62" s="423"/>
      <c r="G62" s="424"/>
      <c r="H62" s="424"/>
      <c r="I62" s="424"/>
      <c r="J62" s="425">
        <f>SUM(J63:J63)</f>
        <v>34.917899999999996</v>
      </c>
    </row>
    <row r="63" spans="1:10" s="325" customFormat="1" ht="28.8">
      <c r="A63" s="410" t="s">
        <v>749</v>
      </c>
      <c r="B63" s="428" t="s">
        <v>2472</v>
      </c>
      <c r="C63" s="412" t="s">
        <v>750</v>
      </c>
      <c r="D63" s="411" t="s">
        <v>415</v>
      </c>
      <c r="E63" s="429">
        <v>1</v>
      </c>
      <c r="F63" s="414">
        <v>29.22</v>
      </c>
      <c r="G63" s="430">
        <f t="shared" ref="G63" si="30">E63*F63</f>
        <v>29.22</v>
      </c>
      <c r="H63" s="416">
        <v>0</v>
      </c>
      <c r="I63" s="416">
        <f t="shared" ref="I63" si="31">(G63+H63)*J$4</f>
        <v>5.6978999999999997</v>
      </c>
      <c r="J63" s="417">
        <f t="shared" ref="J63" si="32">G63+H63+I63</f>
        <v>34.917899999999996</v>
      </c>
    </row>
    <row r="64" spans="1:10" ht="28.8">
      <c r="A64" s="419" t="str">
        <f>ORÇAMENTO!C32</f>
        <v>COMPOSIÇÃO</v>
      </c>
      <c r="B64" s="420" t="s">
        <v>2471</v>
      </c>
      <c r="C64" s="421" t="str">
        <f>ORÇAMENTO!E32</f>
        <v>INTERLIGAÇÕES DO DRENO</v>
      </c>
      <c r="D64" s="440" t="str">
        <f>ORÇAMENTO!F32</f>
        <v>UNID</v>
      </c>
      <c r="E64" s="422"/>
      <c r="F64" s="423"/>
      <c r="G64" s="424"/>
      <c r="H64" s="424"/>
      <c r="I64" s="424"/>
      <c r="J64" s="425">
        <f>SUM(J65:J67)</f>
        <v>110.32240000000002</v>
      </c>
    </row>
    <row r="65" spans="1:10" s="325" customFormat="1" ht="28.8">
      <c r="A65" s="467">
        <v>88309</v>
      </c>
      <c r="B65" s="428" t="s">
        <v>2472</v>
      </c>
      <c r="C65" s="412" t="s">
        <v>1137</v>
      </c>
      <c r="D65" s="411" t="s">
        <v>415</v>
      </c>
      <c r="E65" s="429">
        <v>1</v>
      </c>
      <c r="F65" s="414">
        <v>31.59</v>
      </c>
      <c r="G65" s="416">
        <f>E65*F65</f>
        <v>31.59</v>
      </c>
      <c r="H65" s="416">
        <f>G65*$J$3</f>
        <v>0</v>
      </c>
      <c r="I65" s="416">
        <f>(G65+H65)*J$4</f>
        <v>6.16005</v>
      </c>
      <c r="J65" s="417">
        <f>G65+H65+I65</f>
        <v>37.750050000000002</v>
      </c>
    </row>
    <row r="66" spans="1:10" s="325" customFormat="1" ht="28.8">
      <c r="A66" s="410" t="s">
        <v>751</v>
      </c>
      <c r="B66" s="428" t="s">
        <v>2471</v>
      </c>
      <c r="C66" s="412" t="s">
        <v>752</v>
      </c>
      <c r="D66" s="411" t="s">
        <v>415</v>
      </c>
      <c r="E66" s="429">
        <v>1</v>
      </c>
      <c r="F66" s="414">
        <v>31.51</v>
      </c>
      <c r="G66" s="416">
        <f>E66*F66</f>
        <v>31.51</v>
      </c>
      <c r="H66" s="416">
        <f>G66*$J$3</f>
        <v>0</v>
      </c>
      <c r="I66" s="416">
        <f>(G66+H66)*J$4</f>
        <v>6.1444500000000009</v>
      </c>
      <c r="J66" s="417">
        <f>G66+H66+I66</f>
        <v>37.654450000000004</v>
      </c>
    </row>
    <row r="67" spans="1:10" s="325" customFormat="1" ht="28.8">
      <c r="A67" s="410" t="s">
        <v>749</v>
      </c>
      <c r="B67" s="411" t="s">
        <v>2471</v>
      </c>
      <c r="C67" s="412" t="s">
        <v>750</v>
      </c>
      <c r="D67" s="411" t="s">
        <v>415</v>
      </c>
      <c r="E67" s="429">
        <v>1</v>
      </c>
      <c r="F67" s="414">
        <v>29.22</v>
      </c>
      <c r="G67" s="416">
        <f>E67*F67</f>
        <v>29.22</v>
      </c>
      <c r="H67" s="416">
        <v>0</v>
      </c>
      <c r="I67" s="416">
        <f>(G67+H67)*J$4</f>
        <v>5.6978999999999997</v>
      </c>
      <c r="J67" s="417">
        <f>G67+H67+I67</f>
        <v>34.917899999999996</v>
      </c>
    </row>
    <row r="68" spans="1:10" ht="135" customHeight="1">
      <c r="A68" s="419" t="str">
        <f>ORÇAMENTO!C33</f>
        <v>COMPOSIÇÃO</v>
      </c>
      <c r="B68" s="420" t="s">
        <v>2472</v>
      </c>
      <c r="C68" s="421" t="str">
        <f>ORÇAMENTO!E33</f>
        <v>SERVICOS MÃO DE OBRA CIVIL</v>
      </c>
      <c r="D68" s="440" t="s">
        <v>415</v>
      </c>
      <c r="E68" s="422" t="s">
        <v>712</v>
      </c>
      <c r="F68" s="423" t="s">
        <v>712</v>
      </c>
      <c r="G68" s="424" t="s">
        <v>712</v>
      </c>
      <c r="H68" s="424" t="s">
        <v>712</v>
      </c>
      <c r="I68" s="424" t="s">
        <v>712</v>
      </c>
      <c r="J68" s="425">
        <f>SUM(J69:J70)</f>
        <v>70.397449999999992</v>
      </c>
    </row>
    <row r="69" spans="1:10" s="325" customFormat="1" ht="28.8">
      <c r="A69" s="467">
        <v>88309</v>
      </c>
      <c r="B69" s="428" t="s">
        <v>2472</v>
      </c>
      <c r="C69" s="412" t="s">
        <v>1137</v>
      </c>
      <c r="D69" s="411" t="s">
        <v>415</v>
      </c>
      <c r="E69" s="429">
        <v>1</v>
      </c>
      <c r="F69" s="414">
        <v>31.59</v>
      </c>
      <c r="G69" s="416">
        <f>E69*F69</f>
        <v>31.59</v>
      </c>
      <c r="H69" s="416">
        <f>G69*$J$3</f>
        <v>0</v>
      </c>
      <c r="I69" s="416">
        <f>(G69+H69)*J$4</f>
        <v>6.16005</v>
      </c>
      <c r="J69" s="417">
        <f>G69+H69+I69</f>
        <v>37.750050000000002</v>
      </c>
    </row>
    <row r="70" spans="1:10" s="325" customFormat="1" ht="28.8">
      <c r="A70" s="467">
        <v>88316</v>
      </c>
      <c r="B70" s="428" t="s">
        <v>2472</v>
      </c>
      <c r="C70" s="412" t="s">
        <v>790</v>
      </c>
      <c r="D70" s="411" t="s">
        <v>415</v>
      </c>
      <c r="E70" s="413">
        <v>1</v>
      </c>
      <c r="F70" s="414">
        <v>27.32</v>
      </c>
      <c r="G70" s="416">
        <f>E70*F70</f>
        <v>27.32</v>
      </c>
      <c r="H70" s="416">
        <f>G70*$J$3</f>
        <v>0</v>
      </c>
      <c r="I70" s="416">
        <f>(G70+H70)*J$4</f>
        <v>5.3273999999999999</v>
      </c>
      <c r="J70" s="417">
        <f>G70+H70+I70</f>
        <v>32.647399999999998</v>
      </c>
    </row>
    <row r="71" spans="1:10" ht="28.8">
      <c r="A71" s="419">
        <v>95241</v>
      </c>
      <c r="B71" s="420" t="s">
        <v>2472</v>
      </c>
      <c r="C71" s="421" t="s">
        <v>1138</v>
      </c>
      <c r="D71" s="420" t="str">
        <f>ORÇAMENTO!F34</f>
        <v>M²</v>
      </c>
      <c r="E71" s="422" t="s">
        <v>712</v>
      </c>
      <c r="F71" s="423" t="s">
        <v>712</v>
      </c>
      <c r="G71" s="424" t="s">
        <v>712</v>
      </c>
      <c r="H71" s="424" t="s">
        <v>712</v>
      </c>
      <c r="I71" s="424" t="s">
        <v>712</v>
      </c>
      <c r="J71" s="425">
        <f>SUM(J72:J72)</f>
        <v>34.416000000000004</v>
      </c>
    </row>
    <row r="72" spans="1:10" s="325" customFormat="1" ht="28.8">
      <c r="A72" s="467">
        <v>95241</v>
      </c>
      <c r="B72" s="411" t="s">
        <v>2472</v>
      </c>
      <c r="C72" s="412" t="s">
        <v>1138</v>
      </c>
      <c r="D72" s="428" t="s">
        <v>541</v>
      </c>
      <c r="E72" s="413">
        <v>1</v>
      </c>
      <c r="F72" s="414">
        <v>28.8</v>
      </c>
      <c r="G72" s="416">
        <f>E72*F72</f>
        <v>28.8</v>
      </c>
      <c r="H72" s="416">
        <f>G72*$J$3</f>
        <v>0</v>
      </c>
      <c r="I72" s="416">
        <f>(G72+H72)*J$4</f>
        <v>5.6160000000000005</v>
      </c>
      <c r="J72" s="417">
        <f>G72+H72+I72</f>
        <v>34.416000000000004</v>
      </c>
    </row>
    <row r="73" spans="1:10">
      <c r="A73" s="419" t="str">
        <f>ORÇAMENTO!C35</f>
        <v>01.02.001</v>
      </c>
      <c r="B73" s="420" t="s">
        <v>2474</v>
      </c>
      <c r="C73" s="421" t="str">
        <f>ORÇAMENTO!E35</f>
        <v>CORTE E ATERRO DENTRO DA OBRA COM TRANSPORTE INTERNO</v>
      </c>
      <c r="D73" s="420" t="str">
        <f>ORÇAMENTO!F35</f>
        <v>M³</v>
      </c>
      <c r="E73" s="422">
        <v>1</v>
      </c>
      <c r="F73" s="423">
        <v>38.485355648535567</v>
      </c>
      <c r="G73" s="424" t="s">
        <v>712</v>
      </c>
      <c r="H73" s="424" t="s">
        <v>712</v>
      </c>
      <c r="I73" s="424">
        <f>F73*J$4</f>
        <v>7.5046443514644361</v>
      </c>
      <c r="J73" s="425">
        <f>I73+F73</f>
        <v>45.99</v>
      </c>
    </row>
    <row r="74" spans="1:10">
      <c r="A74" s="419" t="str">
        <f>ORÇAMENTO!C36</f>
        <v>16.36.001</v>
      </c>
      <c r="B74" s="420" t="s">
        <v>2474</v>
      </c>
      <c r="C74" s="421" t="str">
        <f>ORÇAMENTO!E36</f>
        <v xml:space="preserve">REPAROS SUPERFICIAIS LOCALIZADOS </v>
      </c>
      <c r="D74" s="420" t="str">
        <f>ORÇAMENTO!F36</f>
        <v>M²</v>
      </c>
      <c r="E74" s="422">
        <v>1</v>
      </c>
      <c r="F74" s="423">
        <v>210.81171548117152</v>
      </c>
      <c r="G74" s="424" t="s">
        <v>712</v>
      </c>
      <c r="H74" s="424" t="s">
        <v>712</v>
      </c>
      <c r="I74" s="424">
        <f>F74*J$4</f>
        <v>41.108284518828448</v>
      </c>
      <c r="J74" s="425">
        <f>I74+F74</f>
        <v>251.91999999999996</v>
      </c>
    </row>
    <row r="75" spans="1:10" ht="28.8">
      <c r="A75" s="419" t="str">
        <f>ORÇAMENTO!C39</f>
        <v>COMPOSIÇÃO</v>
      </c>
      <c r="B75" s="420" t="s">
        <v>2474</v>
      </c>
      <c r="C75" s="421" t="str">
        <f>ORÇAMENTO!E39</f>
        <v>BUCHA DE NYLON PARA FIXAÇÃO DE PARAFUSO ROSCA SOBERBA.NUMERO S8  (CENTO)</v>
      </c>
      <c r="D75" s="420" t="str">
        <f>ORÇAMENTO!F39</f>
        <v>UNID</v>
      </c>
      <c r="E75" s="422" t="s">
        <v>712</v>
      </c>
      <c r="F75" s="423" t="s">
        <v>712</v>
      </c>
      <c r="G75" s="424" t="s">
        <v>712</v>
      </c>
      <c r="H75" s="424" t="s">
        <v>712</v>
      </c>
      <c r="I75" s="424" t="s">
        <v>712</v>
      </c>
      <c r="J75" s="425">
        <f>SUM(J76:J78)</f>
        <v>40.645836178861792</v>
      </c>
    </row>
    <row r="76" spans="1:10" s="325" customFormat="1">
      <c r="A76" s="410" t="s">
        <v>706</v>
      </c>
      <c r="B76" s="428" t="s">
        <v>2474</v>
      </c>
      <c r="C76" s="412" t="s">
        <v>434</v>
      </c>
      <c r="D76" s="411" t="s">
        <v>415</v>
      </c>
      <c r="E76" s="413">
        <v>0.05</v>
      </c>
      <c r="F76" s="414">
        <v>8.89</v>
      </c>
      <c r="G76" s="415">
        <f>E76*F76</f>
        <v>0.44450000000000006</v>
      </c>
      <c r="H76" s="416">
        <f t="shared" ref="H76:H77" si="33">G76*$J$3</f>
        <v>0</v>
      </c>
      <c r="I76" s="416">
        <f>(G76+H76)*J$4</f>
        <v>8.6677500000000018E-2</v>
      </c>
      <c r="J76" s="417">
        <f>G76+H76+I76</f>
        <v>0.53117750000000008</v>
      </c>
    </row>
    <row r="77" spans="1:10" s="325" customFormat="1">
      <c r="A77" s="410" t="s">
        <v>1128</v>
      </c>
      <c r="B77" s="428" t="s">
        <v>2474</v>
      </c>
      <c r="C77" s="412" t="s">
        <v>705</v>
      </c>
      <c r="D77" s="411" t="s">
        <v>415</v>
      </c>
      <c r="E77" s="413">
        <v>0.05</v>
      </c>
      <c r="F77" s="414">
        <v>7.31</v>
      </c>
      <c r="G77" s="415">
        <f>E77*F77</f>
        <v>0.36549999999999999</v>
      </c>
      <c r="H77" s="416">
        <f t="shared" si="33"/>
        <v>0</v>
      </c>
      <c r="I77" s="416">
        <f>(G77+H77)*J$4</f>
        <v>7.1272500000000003E-2</v>
      </c>
      <c r="J77" s="417">
        <f>G77+H77+I77</f>
        <v>0.43677250000000001</v>
      </c>
    </row>
    <row r="78" spans="1:10" s="325" customFormat="1">
      <c r="A78" s="467" t="s">
        <v>743</v>
      </c>
      <c r="B78" s="428" t="s">
        <v>2474</v>
      </c>
      <c r="C78" s="474" t="s">
        <v>744</v>
      </c>
      <c r="D78" s="411" t="s">
        <v>431</v>
      </c>
      <c r="E78" s="413">
        <v>1</v>
      </c>
      <c r="F78" s="414">
        <f>40.84/1.23</f>
        <v>33.203252032520325</v>
      </c>
      <c r="G78" s="415">
        <f>E78*F78</f>
        <v>33.203252032520325</v>
      </c>
      <c r="H78" s="416">
        <v>0</v>
      </c>
      <c r="I78" s="416">
        <f>(G78+H78)*J$4</f>
        <v>6.4746341463414634</v>
      </c>
      <c r="J78" s="417">
        <f>G78+H78+I78</f>
        <v>39.67788617886179</v>
      </c>
    </row>
    <row r="79" spans="1:10" ht="57.6">
      <c r="A79" s="419" t="str">
        <f>ORÇAMENTO!C40</f>
        <v>COMPOSIÇÃO</v>
      </c>
      <c r="B79" s="420" t="s">
        <v>2479</v>
      </c>
      <c r="C79" s="421" t="str">
        <f>ORÇAMENTO!E40</f>
        <v>BUCHA DE REDUÇÃO PARA ELETRODUTO PARA CONEXÃO APARAFUSADA, TIPO PESADO, FABRICADA EM LIGA DE ALUMÍNIO SILÍCIO COM PARAFUSO EM AÇO BICROMATIZADO, ACOPLÁVEL EM CONDULETES Ø 25 (1") X 20 (3/4")</v>
      </c>
      <c r="D79" s="420" t="str">
        <f>ORÇAMENTO!F40</f>
        <v>UNID</v>
      </c>
      <c r="E79" s="422" t="s">
        <v>712</v>
      </c>
      <c r="F79" s="423" t="s">
        <v>712</v>
      </c>
      <c r="G79" s="424" t="s">
        <v>712</v>
      </c>
      <c r="H79" s="424" t="s">
        <v>712</v>
      </c>
      <c r="I79" s="424" t="s">
        <v>712</v>
      </c>
      <c r="J79" s="425">
        <f>SUM(J80:J82)</f>
        <v>8.36022</v>
      </c>
    </row>
    <row r="80" spans="1:10" s="325" customFormat="1">
      <c r="A80" s="410" t="s">
        <v>706</v>
      </c>
      <c r="B80" s="428" t="s">
        <v>2474</v>
      </c>
      <c r="C80" s="412" t="s">
        <v>434</v>
      </c>
      <c r="D80" s="411" t="s">
        <v>415</v>
      </c>
      <c r="E80" s="413">
        <v>0.08</v>
      </c>
      <c r="F80" s="414">
        <v>8.89</v>
      </c>
      <c r="G80" s="415">
        <f>E80*F80</f>
        <v>0.71120000000000005</v>
      </c>
      <c r="H80" s="416">
        <f t="shared" ref="H80:H81" si="34">G80*$J$3</f>
        <v>0</v>
      </c>
      <c r="I80" s="416">
        <f>(G80+H80)*J$4</f>
        <v>0.138684</v>
      </c>
      <c r="J80" s="417">
        <f>G80+H80+I80</f>
        <v>0.84988400000000008</v>
      </c>
    </row>
    <row r="81" spans="1:10" s="325" customFormat="1">
      <c r="A81" s="410" t="s">
        <v>1128</v>
      </c>
      <c r="B81" s="428" t="s">
        <v>2474</v>
      </c>
      <c r="C81" s="412" t="s">
        <v>705</v>
      </c>
      <c r="D81" s="411" t="s">
        <v>415</v>
      </c>
      <c r="E81" s="413">
        <v>0.08</v>
      </c>
      <c r="F81" s="414">
        <v>7.31</v>
      </c>
      <c r="G81" s="415">
        <f>E81*F81</f>
        <v>0.58479999999999999</v>
      </c>
      <c r="H81" s="416">
        <f t="shared" si="34"/>
        <v>0</v>
      </c>
      <c r="I81" s="416">
        <f>(G81+H81)*J$4</f>
        <v>0.114036</v>
      </c>
      <c r="J81" s="417">
        <f>G81+H81+I81</f>
        <v>0.69883600000000001</v>
      </c>
    </row>
    <row r="82" spans="1:10" s="335" customFormat="1" ht="28.8">
      <c r="A82" s="441" t="s">
        <v>741</v>
      </c>
      <c r="B82" s="411" t="s">
        <v>2472</v>
      </c>
      <c r="C82" s="435" t="s">
        <v>740</v>
      </c>
      <c r="D82" s="434" t="s">
        <v>431</v>
      </c>
      <c r="E82" s="429">
        <v>1</v>
      </c>
      <c r="F82" s="436">
        <v>5.7</v>
      </c>
      <c r="G82" s="442">
        <f>E82*F82</f>
        <v>5.7</v>
      </c>
      <c r="H82" s="437">
        <v>0</v>
      </c>
      <c r="I82" s="437">
        <f>(G82+H82)*J$4</f>
        <v>1.1115000000000002</v>
      </c>
      <c r="J82" s="438">
        <f>G82+H82+I82</f>
        <v>6.8115000000000006</v>
      </c>
    </row>
    <row r="83" spans="1:10">
      <c r="A83" s="419" t="str">
        <f>ORÇAMENTO!C43</f>
        <v>09.85.064</v>
      </c>
      <c r="B83" s="420" t="s">
        <v>2474</v>
      </c>
      <c r="C83" s="421" t="s">
        <v>787</v>
      </c>
      <c r="D83" s="420" t="str">
        <f>ORÇAMENTO!F43</f>
        <v>UNID</v>
      </c>
      <c r="E83" s="422">
        <v>1</v>
      </c>
      <c r="F83" s="423">
        <v>32.35146443514644</v>
      </c>
      <c r="G83" s="424" t="s">
        <v>712</v>
      </c>
      <c r="H83" s="424" t="s">
        <v>712</v>
      </c>
      <c r="I83" s="424">
        <f t="shared" ref="I83:I84" si="35">F83*J$4</f>
        <v>6.3085355648535559</v>
      </c>
      <c r="J83" s="425">
        <f t="shared" ref="J83:J84" si="36">I83+F83</f>
        <v>38.659999999999997</v>
      </c>
    </row>
    <row r="84" spans="1:10">
      <c r="A84" s="419" t="str">
        <f>ORÇAMENTO!C44</f>
        <v>09.85.060</v>
      </c>
      <c r="B84" s="420" t="s">
        <v>2474</v>
      </c>
      <c r="C84" s="421" t="s">
        <v>788</v>
      </c>
      <c r="D84" s="420" t="str">
        <f>ORÇAMENTO!F44</f>
        <v>UNID</v>
      </c>
      <c r="E84" s="422">
        <v>1</v>
      </c>
      <c r="F84" s="423">
        <v>37.087866108786606</v>
      </c>
      <c r="G84" s="424" t="s">
        <v>712</v>
      </c>
      <c r="H84" s="424" t="s">
        <v>712</v>
      </c>
      <c r="I84" s="424">
        <f t="shared" si="35"/>
        <v>7.2321338912133886</v>
      </c>
      <c r="J84" s="425">
        <f t="shared" si="36"/>
        <v>44.319999999999993</v>
      </c>
    </row>
    <row r="85" spans="1:10" ht="81" customHeight="1">
      <c r="A85" s="419" t="str">
        <f>ORÇAMENTO!C45</f>
        <v>COMPOSIÇÃO</v>
      </c>
      <c r="B85" s="420" t="s">
        <v>2479</v>
      </c>
      <c r="C85" s="421" t="str">
        <f>ORÇAMENTO!E45</f>
        <v>CURVA PARA ELETRODUTO 90 FABRICADA COM TUBO DE ALUMÍNIO EXTRUDADO, TIPO PESADO SCHEDULE 40 SEM REBARBAS. FORNECIDA PROTETOR DE ROSCA BSP NAS EXTREMIDADES. Ø 4" (100MM)</v>
      </c>
      <c r="D85" s="420" t="str">
        <f>ORÇAMENTO!F45</f>
        <v>UNID</v>
      </c>
      <c r="E85" s="422" t="s">
        <v>712</v>
      </c>
      <c r="F85" s="423" t="s">
        <v>712</v>
      </c>
      <c r="G85" s="424" t="s">
        <v>712</v>
      </c>
      <c r="H85" s="424" t="s">
        <v>712</v>
      </c>
      <c r="I85" s="424" t="s">
        <v>712</v>
      </c>
      <c r="J85" s="425">
        <f>SUM(J86:J88)</f>
        <v>224.22980000000001</v>
      </c>
    </row>
    <row r="86" spans="1:10" s="325" customFormat="1">
      <c r="A86" s="410" t="s">
        <v>706</v>
      </c>
      <c r="B86" s="428" t="s">
        <v>2474</v>
      </c>
      <c r="C86" s="412" t="s">
        <v>434</v>
      </c>
      <c r="D86" s="411" t="s">
        <v>415</v>
      </c>
      <c r="E86" s="429">
        <v>2</v>
      </c>
      <c r="F86" s="414">
        <v>8.89</v>
      </c>
      <c r="G86" s="415">
        <f>E86*F86</f>
        <v>17.78</v>
      </c>
      <c r="H86" s="416">
        <f t="shared" ref="H86:H87" si="37">G86*$J$3</f>
        <v>0</v>
      </c>
      <c r="I86" s="416">
        <f>(G86+H86)*J$4</f>
        <v>3.4671000000000003</v>
      </c>
      <c r="J86" s="417">
        <f>G86+H86+I86</f>
        <v>21.247100000000003</v>
      </c>
    </row>
    <row r="87" spans="1:10" s="325" customFormat="1">
      <c r="A87" s="410" t="s">
        <v>1128</v>
      </c>
      <c r="B87" s="428" t="s">
        <v>2474</v>
      </c>
      <c r="C87" s="412" t="s">
        <v>705</v>
      </c>
      <c r="D87" s="411" t="s">
        <v>415</v>
      </c>
      <c r="E87" s="429">
        <v>2</v>
      </c>
      <c r="F87" s="414">
        <v>7.31</v>
      </c>
      <c r="G87" s="415">
        <f>E87*F87</f>
        <v>14.62</v>
      </c>
      <c r="H87" s="416">
        <f t="shared" si="37"/>
        <v>0</v>
      </c>
      <c r="I87" s="416">
        <f>(G87+H87)*J$4</f>
        <v>2.8508999999999998</v>
      </c>
      <c r="J87" s="417">
        <f>G87+H87+I87</f>
        <v>17.4709</v>
      </c>
    </row>
    <row r="88" spans="1:10" s="335" customFormat="1" ht="65.25" customHeight="1">
      <c r="A88" s="410">
        <v>2621</v>
      </c>
      <c r="B88" s="411" t="s">
        <v>2472</v>
      </c>
      <c r="C88" s="472" t="s">
        <v>1179</v>
      </c>
      <c r="D88" s="434" t="s">
        <v>431</v>
      </c>
      <c r="E88" s="429">
        <v>1</v>
      </c>
      <c r="F88" s="436">
        <v>155.24</v>
      </c>
      <c r="G88" s="442">
        <f>E88*F88</f>
        <v>155.24</v>
      </c>
      <c r="H88" s="437">
        <v>0</v>
      </c>
      <c r="I88" s="437">
        <f>(G88+H88)*J$4</f>
        <v>30.271800000000002</v>
      </c>
      <c r="J88" s="438">
        <f>G88+H88+I88</f>
        <v>185.51180000000002</v>
      </c>
    </row>
    <row r="89" spans="1:10" ht="28.8">
      <c r="A89" s="419" t="str">
        <f>ORÇAMENTO!C46</f>
        <v>16.45.003</v>
      </c>
      <c r="B89" s="420" t="s">
        <v>2474</v>
      </c>
      <c r="C89" s="421" t="str">
        <f>ORÇAMENTO!E46</f>
        <v>FORNECIMENTO E COLOCACAO DE CHUMBADORES EXPANSIVEIS D=3/8"</v>
      </c>
      <c r="D89" s="420" t="str">
        <f>ORÇAMENTO!F46</f>
        <v>UNID</v>
      </c>
      <c r="E89" s="422">
        <v>1</v>
      </c>
      <c r="F89" s="423">
        <v>7.8158995815899575</v>
      </c>
      <c r="G89" s="424" t="s">
        <v>712</v>
      </c>
      <c r="H89" s="424" t="s">
        <v>712</v>
      </c>
      <c r="I89" s="424">
        <f t="shared" ref="I89:I90" si="38">F89*J$4</f>
        <v>1.5241004184100417</v>
      </c>
      <c r="J89" s="425">
        <f t="shared" ref="J89:J90" si="39">I89+F89</f>
        <v>9.34</v>
      </c>
    </row>
    <row r="90" spans="1:10" ht="95.25" customHeight="1">
      <c r="A90" s="419" t="s">
        <v>1140</v>
      </c>
      <c r="B90" s="420" t="s">
        <v>2473</v>
      </c>
      <c r="C90" s="421" t="str">
        <f>ORÇAMENTO!E47</f>
        <v>Eletrocalha lisa galvanizada a fogo, 50 x 50 mm, com acessórios</v>
      </c>
      <c r="D90" s="420" t="s">
        <v>412</v>
      </c>
      <c r="E90" s="422">
        <v>1</v>
      </c>
      <c r="F90" s="424">
        <v>83.15</v>
      </c>
      <c r="G90" s="424" t="s">
        <v>712</v>
      </c>
      <c r="H90" s="424" t="s">
        <v>712</v>
      </c>
      <c r="I90" s="424">
        <f t="shared" si="38"/>
        <v>16.214250000000003</v>
      </c>
      <c r="J90" s="425">
        <f t="shared" si="39"/>
        <v>99.364250000000013</v>
      </c>
    </row>
    <row r="91" spans="1:10" ht="136.5" customHeight="1">
      <c r="A91" s="419" t="s">
        <v>1142</v>
      </c>
      <c r="B91" s="420" t="s">
        <v>2473</v>
      </c>
      <c r="C91" s="421" t="s">
        <v>1141</v>
      </c>
      <c r="D91" s="420" t="s">
        <v>412</v>
      </c>
      <c r="E91" s="422">
        <v>1</v>
      </c>
      <c r="F91" s="423">
        <v>98.38</v>
      </c>
      <c r="G91" s="424" t="s">
        <v>712</v>
      </c>
      <c r="H91" s="424" t="s">
        <v>712</v>
      </c>
      <c r="I91" s="424">
        <f t="shared" ref="I91" si="40">F91*J$4</f>
        <v>19.184100000000001</v>
      </c>
      <c r="J91" s="425">
        <f t="shared" ref="J91" si="41">I91+F91</f>
        <v>117.5641</v>
      </c>
    </row>
    <row r="92" spans="1:10" ht="142.5" customHeight="1">
      <c r="A92" s="419" t="str">
        <f>ORÇAMENTO!C49</f>
        <v>38.06.040</v>
      </c>
      <c r="B92" s="420" t="str">
        <f>ORÇAMENTO!D49</f>
        <v>CDHU - BOLETIM 191</v>
      </c>
      <c r="C92" s="421" t="str">
        <f>ORÇAMENTO!E49</f>
        <v>Eletroduto galvanizado a quente conforme NBR5598 ‐ 3/4´ com acessórios</v>
      </c>
      <c r="D92" s="420" t="str">
        <f>ORÇAMENTO!F49</f>
        <v>M</v>
      </c>
      <c r="E92" s="422">
        <v>1</v>
      </c>
      <c r="F92" s="423">
        <v>60.65</v>
      </c>
      <c r="G92" s="424" t="s">
        <v>712</v>
      </c>
      <c r="H92" s="424" t="s">
        <v>712</v>
      </c>
      <c r="I92" s="424">
        <f t="shared" ref="I92:I106" si="42">F92*J$4</f>
        <v>11.826750000000001</v>
      </c>
      <c r="J92" s="425">
        <f t="shared" ref="J92:J106" si="43">I92+F92</f>
        <v>72.476749999999996</v>
      </c>
    </row>
    <row r="93" spans="1:10" ht="147.75" customHeight="1">
      <c r="A93" s="419" t="str">
        <f>ORÇAMENTO!C50</f>
        <v>38.06.060</v>
      </c>
      <c r="B93" s="420" t="str">
        <f>ORÇAMENTO!D50</f>
        <v>CDHU - BOLETIM 191</v>
      </c>
      <c r="C93" s="421" t="str">
        <f>ORÇAMENTO!E50</f>
        <v>Eletroduto galvanizado a quente conforme NBR5598 ‐ 1´ com acessórios</v>
      </c>
      <c r="D93" s="420" t="str">
        <f>ORÇAMENTO!F50</f>
        <v>M</v>
      </c>
      <c r="E93" s="422">
        <v>1</v>
      </c>
      <c r="F93" s="423">
        <v>75.38</v>
      </c>
      <c r="G93" s="424" t="s">
        <v>712</v>
      </c>
      <c r="H93" s="424" t="s">
        <v>712</v>
      </c>
      <c r="I93" s="424">
        <f t="shared" si="42"/>
        <v>14.6991</v>
      </c>
      <c r="J93" s="425">
        <f t="shared" si="43"/>
        <v>90.079099999999997</v>
      </c>
    </row>
    <row r="94" spans="1:10" ht="77.25" customHeight="1">
      <c r="A94" s="419" t="str">
        <f>ORÇAMENTO!C51</f>
        <v>38.06.180</v>
      </c>
      <c r="B94" s="420" t="str">
        <f>ORÇAMENTO!D51</f>
        <v>CDHU - BOLETIM 191</v>
      </c>
      <c r="C94" s="421" t="str">
        <f>ORÇAMENTO!E51</f>
        <v>Eletroduto galvanizado a quente conforme NBR5598 ‐ 4´ com acessórios</v>
      </c>
      <c r="D94" s="420" t="str">
        <f>ORÇAMENTO!F51</f>
        <v>M</v>
      </c>
      <c r="E94" s="422">
        <v>1</v>
      </c>
      <c r="F94" s="423">
        <v>305.01</v>
      </c>
      <c r="G94" s="424" t="s">
        <v>712</v>
      </c>
      <c r="H94" s="424" t="s">
        <v>712</v>
      </c>
      <c r="I94" s="424">
        <f t="shared" si="42"/>
        <v>59.476950000000002</v>
      </c>
      <c r="J94" s="425">
        <f t="shared" si="43"/>
        <v>364.48694999999998</v>
      </c>
    </row>
    <row r="95" spans="1:10" ht="101.25" customHeight="1">
      <c r="A95" s="419" t="str">
        <f>ORÇAMENTO!C52</f>
        <v>09.82.095</v>
      </c>
      <c r="B95" s="419" t="s">
        <v>2474</v>
      </c>
      <c r="C95" s="421" t="str">
        <f>ORÇAMENTO!E52</f>
        <v>PERFILADO EM CHAPA DE ACO 38X38MM</v>
      </c>
      <c r="D95" s="420" t="str">
        <f>ORÇAMENTO!F52</f>
        <v>M</v>
      </c>
      <c r="E95" s="422">
        <v>1</v>
      </c>
      <c r="F95" s="423">
        <v>50.77</v>
      </c>
      <c r="G95" s="424" t="s">
        <v>712</v>
      </c>
      <c r="H95" s="424" t="s">
        <v>712</v>
      </c>
      <c r="I95" s="424">
        <f t="shared" si="42"/>
        <v>9.9001500000000018</v>
      </c>
      <c r="J95" s="425">
        <f t="shared" si="43"/>
        <v>60.670150000000007</v>
      </c>
    </row>
    <row r="96" spans="1:10" ht="43.2">
      <c r="A96" s="419">
        <f>ORÇAMENTO!C56</f>
        <v>91927</v>
      </c>
      <c r="B96" s="420" t="str">
        <f>ORÇAMENTO!D56</f>
        <v>SINAPI SP - 08/2023</v>
      </c>
      <c r="C96" s="421" t="s">
        <v>878</v>
      </c>
      <c r="D96" s="420" t="str">
        <f>ORÇAMENTO!F56</f>
        <v>M</v>
      </c>
      <c r="E96" s="422">
        <v>1</v>
      </c>
      <c r="F96" s="423">
        <v>4.8</v>
      </c>
      <c r="G96" s="424" t="s">
        <v>712</v>
      </c>
      <c r="H96" s="424" t="s">
        <v>712</v>
      </c>
      <c r="I96" s="424">
        <f t="shared" si="42"/>
        <v>0.93599999999999994</v>
      </c>
      <c r="J96" s="425">
        <f t="shared" si="43"/>
        <v>5.7359999999999998</v>
      </c>
    </row>
    <row r="97" spans="1:10" ht="168" customHeight="1">
      <c r="A97" s="419">
        <f>ORÇAMENTO!C59</f>
        <v>91929</v>
      </c>
      <c r="B97" s="420" t="str">
        <f>ORÇAMENTO!D59</f>
        <v>SINAPI SP - 08/2023</v>
      </c>
      <c r="C97" s="421" t="str">
        <f>ORÇAMENTO!E59</f>
        <v>CABO DE COBRE FLEXÍVEL ISOLADO, 4 MM², ANTI-CHAMA 0,6/1,0 KV, PARA CIRCUITOS TERMINAIS - FORNECIMENTO E INSTALAÇÃO. AF_12/2015. (OBS. COR VERDE)</v>
      </c>
      <c r="D97" s="420" t="str">
        <f>ORÇAMENTO!F59</f>
        <v>M</v>
      </c>
      <c r="E97" s="422">
        <v>1</v>
      </c>
      <c r="F97" s="423">
        <v>6.92</v>
      </c>
      <c r="G97" s="424" t="s">
        <v>712</v>
      </c>
      <c r="H97" s="424" t="s">
        <v>712</v>
      </c>
      <c r="I97" s="424">
        <f t="shared" si="42"/>
        <v>1.3493999999999999</v>
      </c>
      <c r="J97" s="425">
        <f t="shared" si="43"/>
        <v>8.2693999999999992</v>
      </c>
    </row>
    <row r="98" spans="1:10" ht="65.25" customHeight="1">
      <c r="A98" s="419">
        <f>ORÇAMENTO!C60</f>
        <v>92984</v>
      </c>
      <c r="B98" s="420" t="str">
        <f>ORÇAMENTO!D60</f>
        <v>SINAPI SP - 08/2023</v>
      </c>
      <c r="C98" s="421" t="str">
        <f>ORÇAMENTO!E60</f>
        <v>CABO DE COBRE FLEXÍVEL ISOLADO, 25 MM², ANTI-CHAMA 0,6/1,0 KV, PARA DISTRIBUIÇÃO - FORNECIMENTO E INSTALAÇÃO. AF_12/2015. OBS (COR VERDE)</v>
      </c>
      <c r="D98" s="420" t="str">
        <f>ORÇAMENTO!F60</f>
        <v>M</v>
      </c>
      <c r="E98" s="422">
        <v>1</v>
      </c>
      <c r="F98" s="423">
        <v>23.65</v>
      </c>
      <c r="G98" s="424" t="s">
        <v>712</v>
      </c>
      <c r="H98" s="424" t="s">
        <v>712</v>
      </c>
      <c r="I98" s="424">
        <f t="shared" si="42"/>
        <v>4.6117499999999998</v>
      </c>
      <c r="J98" s="425">
        <f t="shared" si="43"/>
        <v>28.261749999999999</v>
      </c>
    </row>
    <row r="99" spans="1:10" ht="229.5" customHeight="1">
      <c r="A99" s="419">
        <f>ORÇAMENTO!C63</f>
        <v>92988</v>
      </c>
      <c r="B99" s="420" t="str">
        <f>ORÇAMENTO!D63</f>
        <v>SINAPI SP - 08/2023</v>
      </c>
      <c r="C99" s="421" t="str">
        <f>ORÇAMENTO!E63</f>
        <v>CABO DE COBRE FLEXÍVEL ISOLADO, 50 MM², ANTI-CHAMA 0,6/1,0 KV, PARA DISTRIBUIÇÃO - FORNECIMENTO E INSTALAÇÃO. AF_12/2015. (OBS=COR VERMELHA)</v>
      </c>
      <c r="D99" s="420" t="str">
        <f>ORÇAMENTO!F60</f>
        <v>M</v>
      </c>
      <c r="E99" s="422">
        <v>1</v>
      </c>
      <c r="F99" s="423">
        <v>46.05</v>
      </c>
      <c r="G99" s="424" t="s">
        <v>712</v>
      </c>
      <c r="H99" s="424" t="s">
        <v>712</v>
      </c>
      <c r="I99" s="424">
        <f t="shared" si="42"/>
        <v>8.9797499999999992</v>
      </c>
      <c r="J99" s="425">
        <f t="shared" si="43"/>
        <v>55.029749999999993</v>
      </c>
    </row>
    <row r="100" spans="1:10" ht="66.75" customHeight="1">
      <c r="A100" s="419">
        <f>ORÇAMENTO!C65</f>
        <v>92992</v>
      </c>
      <c r="B100" s="420" t="str">
        <f>ORÇAMENTO!D65</f>
        <v>SINAPI SP - 08/2023</v>
      </c>
      <c r="C100" s="421" t="str">
        <f>ORÇAMENTO!E65</f>
        <v>CABO DE COBRE FLEXÍVEL ISOLADO, 95 MM², ANTI-CHAMA 0,6/1,0 KV, PARA DISTRIBUIÇÃO - FORNECIMENTO E INSTALAÇÃO. AF_12/2015. (OBS=COR VERDE)</v>
      </c>
      <c r="D100" s="420" t="str">
        <f>ORÇAMENTO!F65</f>
        <v>M</v>
      </c>
      <c r="E100" s="422">
        <v>1</v>
      </c>
      <c r="F100" s="423">
        <v>81.510000000000005</v>
      </c>
      <c r="G100" s="424" t="s">
        <v>712</v>
      </c>
      <c r="H100" s="424" t="s">
        <v>712</v>
      </c>
      <c r="I100" s="424">
        <f t="shared" si="42"/>
        <v>15.894450000000001</v>
      </c>
      <c r="J100" s="425">
        <f t="shared" si="43"/>
        <v>97.404450000000011</v>
      </c>
    </row>
    <row r="101" spans="1:10" ht="67.5" customHeight="1">
      <c r="A101" s="419">
        <f>ORÇAMENTO!C69</f>
        <v>92998</v>
      </c>
      <c r="B101" s="420" t="str">
        <f>ORÇAMENTO!D69</f>
        <v>SINAPI SP - 08/2023</v>
      </c>
      <c r="C101" s="421" t="str">
        <f>ORÇAMENTO!E69</f>
        <v>CABO DE COBRE FLEXÍVEL ISOLADO, 185 MM², ANTI-CHAMA 0,6/1,0 KV, PARA DISTRIBUIÇÃO - FORNECIMENTO E INSTALAÇÃO. AF_12/2015. (OBS= COR AZUL CLARO)</v>
      </c>
      <c r="D101" s="420" t="str">
        <f>ORÇAMENTO!F69</f>
        <v>M</v>
      </c>
      <c r="E101" s="422">
        <v>1</v>
      </c>
      <c r="F101" s="423">
        <v>155.85</v>
      </c>
      <c r="G101" s="424" t="s">
        <v>712</v>
      </c>
      <c r="H101" s="424" t="s">
        <v>712</v>
      </c>
      <c r="I101" s="424">
        <f t="shared" si="42"/>
        <v>30.390750000000001</v>
      </c>
      <c r="J101" s="425">
        <f t="shared" si="43"/>
        <v>186.24074999999999</v>
      </c>
    </row>
    <row r="102" spans="1:10" ht="60" customHeight="1">
      <c r="A102" s="419" t="str">
        <f>ORÇAMENTO!C70</f>
        <v>09.04.080</v>
      </c>
      <c r="B102" s="420" t="s">
        <v>2474</v>
      </c>
      <c r="C102" s="421" t="str">
        <f>ORÇAMENTO!E70</f>
        <v>CABO DE COBRE NU DE 50 MM2</v>
      </c>
      <c r="D102" s="420" t="str">
        <f>ORÇAMENTO!F70</f>
        <v>M</v>
      </c>
      <c r="E102" s="422">
        <v>1</v>
      </c>
      <c r="F102" s="423">
        <v>78.790000000000006</v>
      </c>
      <c r="G102" s="424" t="s">
        <v>712</v>
      </c>
      <c r="H102" s="424" t="s">
        <v>712</v>
      </c>
      <c r="I102" s="424">
        <f t="shared" si="42"/>
        <v>15.364050000000002</v>
      </c>
      <c r="J102" s="425">
        <f t="shared" si="43"/>
        <v>94.154050000000012</v>
      </c>
    </row>
    <row r="103" spans="1:10" ht="69.75" customHeight="1">
      <c r="A103" s="419" t="str">
        <f>ORÇAMENTO!C71</f>
        <v>09.82.027</v>
      </c>
      <c r="B103" s="420" t="str">
        <f>ORÇAMENTO!D71</f>
        <v>FDE - 07/2023</v>
      </c>
      <c r="C103" s="421" t="str">
        <f>ORÇAMENTO!E71</f>
        <v>TERMINAL OU CONECTOR DE PRESSAO PARA CABO 25MM</v>
      </c>
      <c r="D103" s="420" t="str">
        <f>ORÇAMENTO!F71</f>
        <v>UNID</v>
      </c>
      <c r="E103" s="422">
        <v>1</v>
      </c>
      <c r="F103" s="423">
        <v>22.98</v>
      </c>
      <c r="G103" s="424" t="s">
        <v>712</v>
      </c>
      <c r="H103" s="424" t="s">
        <v>712</v>
      </c>
      <c r="I103" s="424">
        <f t="shared" si="42"/>
        <v>4.4811000000000005</v>
      </c>
      <c r="J103" s="425">
        <f t="shared" si="43"/>
        <v>27.461100000000002</v>
      </c>
    </row>
    <row r="104" spans="1:10" ht="82.5" customHeight="1">
      <c r="A104" s="419" t="str">
        <f>ORÇAMENTO!C72</f>
        <v>09.82.029</v>
      </c>
      <c r="B104" s="420" t="str">
        <f>ORÇAMENTO!D72</f>
        <v>FDE - 07/2023</v>
      </c>
      <c r="C104" s="421" t="str">
        <f>ORÇAMENTO!E72</f>
        <v>TERMINAL OU CONECTOR DE PRESSAO PARA CABO 50MM</v>
      </c>
      <c r="D104" s="420" t="str">
        <f>ORÇAMENTO!F72</f>
        <v>UNID</v>
      </c>
      <c r="E104" s="422">
        <v>1</v>
      </c>
      <c r="F104" s="423">
        <v>34.06</v>
      </c>
      <c r="G104" s="424" t="s">
        <v>712</v>
      </c>
      <c r="H104" s="424" t="s">
        <v>712</v>
      </c>
      <c r="I104" s="424">
        <f t="shared" si="42"/>
        <v>6.641700000000001</v>
      </c>
      <c r="J104" s="425">
        <f t="shared" si="43"/>
        <v>40.701700000000002</v>
      </c>
    </row>
    <row r="105" spans="1:10" ht="55.5" customHeight="1">
      <c r="A105" s="419" t="str">
        <f>ORÇAMENTO!C73</f>
        <v>09.82.031</v>
      </c>
      <c r="B105" s="420" t="str">
        <f>ORÇAMENTO!D73</f>
        <v>FDE - 07/2023</v>
      </c>
      <c r="C105" s="421" t="str">
        <f>ORÇAMENTO!E73</f>
        <v>TERMINAL OU CONECTOR DE PRESSAO PARA CABO 95MM</v>
      </c>
      <c r="D105" s="420" t="str">
        <f>ORÇAMENTO!F73</f>
        <v>UNID</v>
      </c>
      <c r="E105" s="422">
        <v>1</v>
      </c>
      <c r="F105" s="423">
        <v>43.51</v>
      </c>
      <c r="G105" s="424" t="s">
        <v>712</v>
      </c>
      <c r="H105" s="424" t="s">
        <v>712</v>
      </c>
      <c r="I105" s="424">
        <f t="shared" si="42"/>
        <v>8.4844500000000007</v>
      </c>
      <c r="J105" s="425">
        <f t="shared" si="43"/>
        <v>51.994450000000001</v>
      </c>
    </row>
    <row r="106" spans="1:10" ht="37.5" customHeight="1">
      <c r="A106" s="419" t="str">
        <f>ORÇAMENTO!C74</f>
        <v>09.82.034</v>
      </c>
      <c r="B106" s="420" t="str">
        <f>ORÇAMENTO!D74</f>
        <v>FDE - 07/2023</v>
      </c>
      <c r="C106" s="421" t="str">
        <f>ORÇAMENTO!E74</f>
        <v>TERMINAL OU CONECTOR DE PRESSAO PARA CABO 185MM</v>
      </c>
      <c r="D106" s="420" t="str">
        <f>ORÇAMENTO!F74</f>
        <v>UNID</v>
      </c>
      <c r="E106" s="422">
        <v>1</v>
      </c>
      <c r="F106" s="423">
        <v>72.45</v>
      </c>
      <c r="G106" s="424" t="s">
        <v>712</v>
      </c>
      <c r="H106" s="424" t="s">
        <v>712</v>
      </c>
      <c r="I106" s="424">
        <f t="shared" si="42"/>
        <v>14.127750000000001</v>
      </c>
      <c r="J106" s="425">
        <f t="shared" si="43"/>
        <v>86.577750000000009</v>
      </c>
    </row>
    <row r="107" spans="1:10" ht="57.6">
      <c r="A107" s="419" t="str">
        <f>ORÇAMENTO!C75</f>
        <v>COMPOSIÇÃO</v>
      </c>
      <c r="B107" s="420" t="str">
        <f>$B$146</f>
        <v>CDHU - BOLETIM 191 + FDE - 07/2023 + SINAPI SP - 08/2023</v>
      </c>
      <c r="C107" s="421" t="str">
        <f>ORÇAMENTO!E75</f>
        <v xml:space="preserve"> PAINEL ELÉTRICO 001 - IRACEMA MIELE</v>
      </c>
      <c r="D107" s="420" t="str">
        <f>ORÇAMENTO!F75</f>
        <v>Uni.</v>
      </c>
      <c r="E107" s="422" t="s">
        <v>712</v>
      </c>
      <c r="F107" s="423" t="s">
        <v>712</v>
      </c>
      <c r="G107" s="424" t="s">
        <v>712</v>
      </c>
      <c r="H107" s="424" t="s">
        <v>712</v>
      </c>
      <c r="I107" s="424" t="s">
        <v>712</v>
      </c>
      <c r="J107" s="425">
        <f>SUM(J108:J114)</f>
        <v>14115.812596</v>
      </c>
    </row>
    <row r="108" spans="1:10" s="325" customFormat="1" ht="28.8">
      <c r="A108" s="484" t="s">
        <v>2461</v>
      </c>
      <c r="B108" s="428" t="s">
        <v>2473</v>
      </c>
      <c r="C108" s="474" t="s">
        <v>1166</v>
      </c>
      <c r="D108" s="428" t="s">
        <v>541</v>
      </c>
      <c r="E108" s="429">
        <v>1.44</v>
      </c>
      <c r="F108" s="414">
        <v>2740.12</v>
      </c>
      <c r="G108" s="415">
        <f t="shared" ref="G108:G114" si="44">E108*F108</f>
        <v>3945.7727999999997</v>
      </c>
      <c r="H108" s="416">
        <f t="shared" ref="H108" si="45">G108*$J$3</f>
        <v>0</v>
      </c>
      <c r="I108" s="416">
        <f t="shared" ref="I108:I114" si="46">(G108+H108)*J$4</f>
        <v>769.42569600000002</v>
      </c>
      <c r="J108" s="417">
        <f t="shared" ref="J108:J114" si="47">G108+H108+I108</f>
        <v>4715.198496</v>
      </c>
    </row>
    <row r="109" spans="1:10" s="325" customFormat="1">
      <c r="A109" s="410" t="s">
        <v>875</v>
      </c>
      <c r="B109" s="428" t="s">
        <v>2474</v>
      </c>
      <c r="C109" s="474" t="s">
        <v>1157</v>
      </c>
      <c r="D109" s="411" t="s">
        <v>422</v>
      </c>
      <c r="E109" s="429">
        <v>1</v>
      </c>
      <c r="F109" s="414">
        <f>562.44/1.195</f>
        <v>470.6610878661088</v>
      </c>
      <c r="G109" s="415">
        <f t="shared" si="44"/>
        <v>470.6610878661088</v>
      </c>
      <c r="H109" s="416">
        <f t="shared" ref="H109" si="48">G109*$J$3</f>
        <v>0</v>
      </c>
      <c r="I109" s="416">
        <f t="shared" si="46"/>
        <v>91.778912133891225</v>
      </c>
      <c r="J109" s="417">
        <f t="shared" si="47"/>
        <v>562.44000000000005</v>
      </c>
    </row>
    <row r="110" spans="1:10" s="325" customFormat="1">
      <c r="A110" s="410" t="s">
        <v>1160</v>
      </c>
      <c r="B110" s="428" t="s">
        <v>2474</v>
      </c>
      <c r="C110" s="412" t="s">
        <v>1159</v>
      </c>
      <c r="D110" s="411" t="s">
        <v>422</v>
      </c>
      <c r="E110" s="429">
        <v>52</v>
      </c>
      <c r="F110" s="414">
        <f>79.32/1.195</f>
        <v>66.376569037656893</v>
      </c>
      <c r="G110" s="415">
        <f t="shared" si="44"/>
        <v>3451.5815899581585</v>
      </c>
      <c r="H110" s="416">
        <f t="shared" ref="H110" si="49">G110*$J$3</f>
        <v>0</v>
      </c>
      <c r="I110" s="416">
        <f t="shared" si="46"/>
        <v>673.05841004184094</v>
      </c>
      <c r="J110" s="417">
        <f t="shared" si="47"/>
        <v>4124.6399999999994</v>
      </c>
    </row>
    <row r="111" spans="1:10" s="325" customFormat="1" ht="28.8">
      <c r="A111" s="410">
        <v>1623</v>
      </c>
      <c r="B111" s="428" t="s">
        <v>2471</v>
      </c>
      <c r="C111" s="474" t="s">
        <v>1161</v>
      </c>
      <c r="D111" s="411" t="s">
        <v>422</v>
      </c>
      <c r="E111" s="429">
        <v>16</v>
      </c>
      <c r="F111" s="414">
        <v>161.22</v>
      </c>
      <c r="G111" s="415">
        <f t="shared" si="44"/>
        <v>2579.52</v>
      </c>
      <c r="H111" s="416">
        <f t="shared" ref="H111" si="50">G111*$J$3</f>
        <v>0</v>
      </c>
      <c r="I111" s="416">
        <f t="shared" si="46"/>
        <v>503.00640000000004</v>
      </c>
      <c r="J111" s="417">
        <f t="shared" si="47"/>
        <v>3082.5264000000002</v>
      </c>
    </row>
    <row r="112" spans="1:10" s="325" customFormat="1" ht="28.8">
      <c r="A112" s="410" t="s">
        <v>1163</v>
      </c>
      <c r="B112" s="428" t="s">
        <v>2473</v>
      </c>
      <c r="C112" s="412" t="s">
        <v>1162</v>
      </c>
      <c r="D112" s="411" t="s">
        <v>422</v>
      </c>
      <c r="E112" s="429">
        <v>2</v>
      </c>
      <c r="F112" s="414">
        <v>122.89</v>
      </c>
      <c r="G112" s="415">
        <f t="shared" si="44"/>
        <v>245.78</v>
      </c>
      <c r="H112" s="416">
        <f t="shared" ref="H112:H114" si="51">G112*$J$3</f>
        <v>0</v>
      </c>
      <c r="I112" s="416">
        <f t="shared" si="46"/>
        <v>47.927100000000003</v>
      </c>
      <c r="J112" s="417">
        <f t="shared" si="47"/>
        <v>293.70710000000003</v>
      </c>
    </row>
    <row r="113" spans="1:10" s="325" customFormat="1" ht="15" customHeight="1">
      <c r="A113" s="410" t="s">
        <v>1165</v>
      </c>
      <c r="B113" s="428" t="s">
        <v>2473</v>
      </c>
      <c r="C113" s="412" t="s">
        <v>1164</v>
      </c>
      <c r="D113" s="411" t="s">
        <v>422</v>
      </c>
      <c r="E113" s="429">
        <v>1</v>
      </c>
      <c r="F113" s="414">
        <v>187.24</v>
      </c>
      <c r="G113" s="415">
        <f t="shared" si="44"/>
        <v>187.24</v>
      </c>
      <c r="H113" s="416">
        <f t="shared" si="51"/>
        <v>0</v>
      </c>
      <c r="I113" s="416">
        <f t="shared" si="46"/>
        <v>36.511800000000001</v>
      </c>
      <c r="J113" s="417">
        <f t="shared" si="47"/>
        <v>223.7518</v>
      </c>
    </row>
    <row r="114" spans="1:10" s="325" customFormat="1" ht="28.8">
      <c r="A114" s="410" t="s">
        <v>1168</v>
      </c>
      <c r="B114" s="428" t="s">
        <v>2473</v>
      </c>
      <c r="C114" s="474" t="s">
        <v>1167</v>
      </c>
      <c r="D114" s="428" t="s">
        <v>1158</v>
      </c>
      <c r="E114" s="429">
        <v>1</v>
      </c>
      <c r="F114" s="414">
        <v>931.84</v>
      </c>
      <c r="G114" s="415">
        <f t="shared" si="44"/>
        <v>931.84</v>
      </c>
      <c r="H114" s="416">
        <f t="shared" si="51"/>
        <v>0</v>
      </c>
      <c r="I114" s="416">
        <f t="shared" si="46"/>
        <v>181.70880000000002</v>
      </c>
      <c r="J114" s="417">
        <f t="shared" si="47"/>
        <v>1113.5488</v>
      </c>
    </row>
    <row r="115" spans="1:10">
      <c r="A115" s="419" t="s">
        <v>708</v>
      </c>
      <c r="B115" s="420" t="s">
        <v>2474</v>
      </c>
      <c r="C115" s="421" t="s">
        <v>707</v>
      </c>
      <c r="D115" s="420" t="str">
        <f>[4]ORÇAMENTO!G77</f>
        <v>M²</v>
      </c>
      <c r="E115" s="422"/>
      <c r="F115" s="423"/>
      <c r="G115" s="424"/>
      <c r="H115" s="424"/>
      <c r="I115" s="424"/>
      <c r="J115" s="425">
        <f>(SUM(J116))</f>
        <v>6.1139308943089432</v>
      </c>
    </row>
    <row r="116" spans="1:10" s="325" customFormat="1">
      <c r="A116" s="468" t="s">
        <v>709</v>
      </c>
      <c r="B116" s="428" t="s">
        <v>2474</v>
      </c>
      <c r="C116" s="443" t="s">
        <v>710</v>
      </c>
      <c r="D116" s="444" t="s">
        <v>415</v>
      </c>
      <c r="E116" s="445">
        <v>0.7</v>
      </c>
      <c r="F116" s="414">
        <f>8.99/1.23</f>
        <v>7.3089430894308949</v>
      </c>
      <c r="G116" s="415">
        <f>E116*F116</f>
        <v>5.116260162601626</v>
      </c>
      <c r="H116" s="416">
        <f t="shared" ref="H116" si="52">G116*$J$3</f>
        <v>0</v>
      </c>
      <c r="I116" s="416">
        <f>(G116+H116)*J$4</f>
        <v>0.99767073170731713</v>
      </c>
      <c r="J116" s="417">
        <f>G116+H116+I116</f>
        <v>6.1139308943089432</v>
      </c>
    </row>
    <row r="117" spans="1:10" ht="154.5" customHeight="1">
      <c r="A117" s="419" t="str">
        <f>ORÇAMENTO!C91</f>
        <v>COMPOSIÇÃO</v>
      </c>
      <c r="B117" s="420" t="s">
        <v>2471</v>
      </c>
      <c r="C117" s="421" t="str">
        <f>ORÇAMENTO!E91</f>
        <v>TUBULAÇÃO DE Ø 3/4" PARA SISTEMA SPLIT EM COBRE FOSFOROSO SEM COSTURA, DESOXIDADOS, RECOZIDOS E BRILHANTES COM LIGA C-122 COM 99% DE COBRE, COM CARACTERÍSTICAS CONFORME NORMA ABNT-NBR 7541; COM ESPECIFICAÇÃO PARA RESISTIR A UMA PRESSÃO MÁXIMA DE 40 BAR NO MÍNIMO; COM ISOLAMENTO TÉRMICO POR TODA SUA EXTENSÃO COM COEFICIENTE DE TRANSMISSÃO DE 0,038WAT/K (À 0.ºC ) COM ESPESSURA DE 13 MM NO MÍNIMO .</v>
      </c>
      <c r="D117" s="420" t="str">
        <f>ORÇAMENTO!F91</f>
        <v>M</v>
      </c>
      <c r="E117" s="422" t="s">
        <v>712</v>
      </c>
      <c r="F117" s="423" t="s">
        <v>712</v>
      </c>
      <c r="G117" s="424" t="s">
        <v>712</v>
      </c>
      <c r="H117" s="424" t="s">
        <v>712</v>
      </c>
      <c r="I117" s="424" t="s">
        <v>712</v>
      </c>
      <c r="J117" s="425">
        <f>SUM(J118:J121)</f>
        <v>112.69806</v>
      </c>
    </row>
    <row r="118" spans="1:10" s="325" customFormat="1" ht="28.8">
      <c r="A118" s="410" t="s">
        <v>751</v>
      </c>
      <c r="B118" s="428" t="s">
        <v>2471</v>
      </c>
      <c r="C118" s="412" t="s">
        <v>752</v>
      </c>
      <c r="D118" s="411" t="s">
        <v>415</v>
      </c>
      <c r="E118" s="429">
        <v>0.5</v>
      </c>
      <c r="F118" s="414">
        <v>31.51</v>
      </c>
      <c r="G118" s="430">
        <f t="shared" ref="G118:G121" si="53">E118*F118</f>
        <v>15.755000000000001</v>
      </c>
      <c r="H118" s="416">
        <f>G118*$J$3</f>
        <v>0</v>
      </c>
      <c r="I118" s="416">
        <f t="shared" ref="I118:I121" si="54">(G118+H118)*J$4</f>
        <v>3.0722250000000004</v>
      </c>
      <c r="J118" s="417">
        <f t="shared" ref="J118:J121" si="55">G118+H118+I118</f>
        <v>18.827225000000002</v>
      </c>
    </row>
    <row r="119" spans="1:10" s="325" customFormat="1" ht="28.8">
      <c r="A119" s="410" t="s">
        <v>749</v>
      </c>
      <c r="B119" s="428" t="s">
        <v>2471</v>
      </c>
      <c r="C119" s="412" t="s">
        <v>750</v>
      </c>
      <c r="D119" s="411" t="s">
        <v>415</v>
      </c>
      <c r="E119" s="429">
        <v>0.5</v>
      </c>
      <c r="F119" s="414">
        <v>29.22</v>
      </c>
      <c r="G119" s="430">
        <f t="shared" si="53"/>
        <v>14.61</v>
      </c>
      <c r="H119" s="416">
        <v>0</v>
      </c>
      <c r="I119" s="416">
        <f t="shared" si="54"/>
        <v>2.8489499999999999</v>
      </c>
      <c r="J119" s="417">
        <f t="shared" si="55"/>
        <v>17.458949999999998</v>
      </c>
    </row>
    <row r="120" spans="1:10" s="325" customFormat="1" ht="28.8">
      <c r="A120" s="431" t="s">
        <v>805</v>
      </c>
      <c r="B120" s="428" t="s">
        <v>2471</v>
      </c>
      <c r="C120" s="473" t="s">
        <v>806</v>
      </c>
      <c r="D120" s="427" t="s">
        <v>412</v>
      </c>
      <c r="E120" s="432">
        <v>1.1000000000000001</v>
      </c>
      <c r="F120" s="433">
        <v>56.11</v>
      </c>
      <c r="G120" s="430">
        <f t="shared" si="53"/>
        <v>61.721000000000004</v>
      </c>
      <c r="H120" s="416">
        <v>0</v>
      </c>
      <c r="I120" s="416">
        <f t="shared" si="54"/>
        <v>12.035595000000001</v>
      </c>
      <c r="J120" s="417">
        <f t="shared" si="55"/>
        <v>73.756595000000004</v>
      </c>
    </row>
    <row r="121" spans="1:10" s="325" customFormat="1" ht="43.2">
      <c r="A121" s="431" t="s">
        <v>807</v>
      </c>
      <c r="B121" s="428" t="s">
        <v>2471</v>
      </c>
      <c r="C121" s="418" t="s">
        <v>808</v>
      </c>
      <c r="D121" s="427" t="s">
        <v>412</v>
      </c>
      <c r="E121" s="432">
        <v>1.1000000000000001</v>
      </c>
      <c r="F121" s="433">
        <v>2.02</v>
      </c>
      <c r="G121" s="430">
        <f t="shared" si="53"/>
        <v>2.2220000000000004</v>
      </c>
      <c r="H121" s="416">
        <v>0</v>
      </c>
      <c r="I121" s="416">
        <f t="shared" si="54"/>
        <v>0.43329000000000012</v>
      </c>
      <c r="J121" s="417">
        <f t="shared" si="55"/>
        <v>2.6552900000000004</v>
      </c>
    </row>
    <row r="122" spans="1:10" s="325" customFormat="1" ht="115.5" customHeight="1">
      <c r="A122" s="419" t="s">
        <v>1177</v>
      </c>
      <c r="B122" s="420" t="s">
        <v>2473</v>
      </c>
      <c r="C122" s="421" t="s">
        <v>1178</v>
      </c>
      <c r="D122" s="420" t="s">
        <v>15</v>
      </c>
      <c r="E122" s="422"/>
      <c r="F122" s="423"/>
      <c r="G122" s="424"/>
      <c r="H122" s="424"/>
      <c r="I122" s="424"/>
      <c r="J122" s="425">
        <f>SUM(J123:J123)</f>
        <v>40.498550000000009</v>
      </c>
    </row>
    <row r="123" spans="1:10" s="325" customFormat="1" ht="28.8">
      <c r="A123" s="431" t="s">
        <v>1177</v>
      </c>
      <c r="B123" s="475" t="s">
        <v>2473</v>
      </c>
      <c r="C123" s="435" t="s">
        <v>1178</v>
      </c>
      <c r="D123" s="475" t="s">
        <v>541</v>
      </c>
      <c r="E123" s="429">
        <f>0.2*0.1</f>
        <v>2.0000000000000004E-2</v>
      </c>
      <c r="F123" s="436">
        <v>1694.5</v>
      </c>
      <c r="G123" s="437">
        <f>E123*F123</f>
        <v>33.890000000000008</v>
      </c>
      <c r="H123" s="437">
        <f>G123*$J$3</f>
        <v>0</v>
      </c>
      <c r="I123" s="437">
        <f>(G123+H123)*J$4</f>
        <v>6.6085500000000019</v>
      </c>
      <c r="J123" s="438">
        <f>G123+H123+I123</f>
        <v>40.498550000000009</v>
      </c>
    </row>
    <row r="124" spans="1:10" s="325" customFormat="1" ht="102" customHeight="1">
      <c r="A124" s="419" t="s">
        <v>1177</v>
      </c>
      <c r="B124" s="420" t="s">
        <v>2473</v>
      </c>
      <c r="C124" s="421" t="s">
        <v>1178</v>
      </c>
      <c r="D124" s="420" t="s">
        <v>15</v>
      </c>
      <c r="E124" s="422"/>
      <c r="F124" s="423"/>
      <c r="G124" s="424"/>
      <c r="H124" s="424"/>
      <c r="I124" s="424"/>
      <c r="J124" s="425">
        <f>SUM(J125:J125)</f>
        <v>242.9913</v>
      </c>
    </row>
    <row r="125" spans="1:10" s="325" customFormat="1" ht="28.8">
      <c r="A125" s="431" t="s">
        <v>1177</v>
      </c>
      <c r="B125" s="475" t="s">
        <v>2473</v>
      </c>
      <c r="C125" s="435" t="s">
        <v>1178</v>
      </c>
      <c r="D125" s="475" t="s">
        <v>541</v>
      </c>
      <c r="E125" s="429">
        <f>0.3*0.4</f>
        <v>0.12</v>
      </c>
      <c r="F125" s="436">
        <v>1694.5</v>
      </c>
      <c r="G125" s="437">
        <f>E125*F125</f>
        <v>203.34</v>
      </c>
      <c r="H125" s="437">
        <f>G125*$J$3</f>
        <v>0</v>
      </c>
      <c r="I125" s="437">
        <f>(G125+H125)*J$4</f>
        <v>39.651299999999999</v>
      </c>
      <c r="J125" s="438">
        <f>G125+H125+I125</f>
        <v>242.9913</v>
      </c>
    </row>
    <row r="126" spans="1:10" s="325" customFormat="1" ht="102" customHeight="1">
      <c r="A126" s="419" t="s">
        <v>1177</v>
      </c>
      <c r="B126" s="420" t="s">
        <v>2473</v>
      </c>
      <c r="C126" s="421" t="s">
        <v>1178</v>
      </c>
      <c r="D126" s="420" t="s">
        <v>15</v>
      </c>
      <c r="E126" s="422"/>
      <c r="F126" s="423"/>
      <c r="G126" s="424"/>
      <c r="H126" s="424"/>
      <c r="I126" s="424"/>
      <c r="J126" s="425">
        <f>SUM(J127:J127)</f>
        <v>121.49565</v>
      </c>
    </row>
    <row r="127" spans="1:10" s="325" customFormat="1" ht="28.8">
      <c r="A127" s="431" t="s">
        <v>1177</v>
      </c>
      <c r="B127" s="475" t="s">
        <v>2473</v>
      </c>
      <c r="C127" s="435" t="s">
        <v>1178</v>
      </c>
      <c r="D127" s="475" t="s">
        <v>541</v>
      </c>
      <c r="E127" s="429">
        <f>0.3*0.2</f>
        <v>0.06</v>
      </c>
      <c r="F127" s="436">
        <v>1694.5</v>
      </c>
      <c r="G127" s="437">
        <f>E127*F127</f>
        <v>101.67</v>
      </c>
      <c r="H127" s="437">
        <f>G127*$J$3</f>
        <v>0</v>
      </c>
      <c r="I127" s="437">
        <f>(G127+H127)*J$4</f>
        <v>19.82565</v>
      </c>
      <c r="J127" s="438">
        <f>G127+H127+I127</f>
        <v>121.49565</v>
      </c>
    </row>
    <row r="128" spans="1:10" s="339" customFormat="1" ht="57.6">
      <c r="A128" s="419" t="str">
        <f>ORÇAMENTO!C112</f>
        <v>COMPOSIÇÃO</v>
      </c>
      <c r="B128" s="420" t="str">
        <f>ORÇAMENTO!D112</f>
        <v>FDE - 07/2023 + SINAPI SP - 08/2023</v>
      </c>
      <c r="C128" s="421" t="str">
        <f>ORÇAMENTO!E112</f>
        <v xml:space="preserve">BUCHA DE REDUÇÃO PARA ELETRODUTO PARA CONEXÃO APARAFUSADA, TIPO PESADO, FABRICADA EM LIGA DE ALUMÍNIO SILÍCIO COM PARAFUSO EM AÇO BICROMATIZADO, ACOPLÁVEL EM CONDULETES 'Ø 40 (1.1/2") X 20 (3/4") </v>
      </c>
      <c r="D128" s="420" t="str">
        <f>ORÇAMENTO!F112</f>
        <v>UNID</v>
      </c>
      <c r="E128" s="422" t="s">
        <v>712</v>
      </c>
      <c r="F128" s="423" t="s">
        <v>712</v>
      </c>
      <c r="G128" s="424" t="s">
        <v>712</v>
      </c>
      <c r="H128" s="424" t="s">
        <v>712</v>
      </c>
      <c r="I128" s="424" t="s">
        <v>712</v>
      </c>
      <c r="J128" s="425">
        <f>SUM(J129:J131)</f>
        <v>27.551920000000003</v>
      </c>
    </row>
    <row r="129" spans="1:10" s="339" customFormat="1">
      <c r="A129" s="410" t="s">
        <v>706</v>
      </c>
      <c r="B129" s="428" t="s">
        <v>2474</v>
      </c>
      <c r="C129" s="412" t="s">
        <v>434</v>
      </c>
      <c r="D129" s="411" t="s">
        <v>415</v>
      </c>
      <c r="E129" s="413">
        <v>0.08</v>
      </c>
      <c r="F129" s="414">
        <v>8.89</v>
      </c>
      <c r="G129" s="415">
        <f>E129*F129</f>
        <v>0.71120000000000005</v>
      </c>
      <c r="H129" s="416">
        <f t="shared" ref="H129:H130" si="56">G129*$J$3</f>
        <v>0</v>
      </c>
      <c r="I129" s="416">
        <f>(G129+H129)*J$4</f>
        <v>0.138684</v>
      </c>
      <c r="J129" s="417">
        <f>G129+H129+I129</f>
        <v>0.84988400000000008</v>
      </c>
    </row>
    <row r="130" spans="1:10" s="339" customFormat="1">
      <c r="A130" s="410" t="s">
        <v>1128</v>
      </c>
      <c r="B130" s="428" t="s">
        <v>2474</v>
      </c>
      <c r="C130" s="412" t="s">
        <v>705</v>
      </c>
      <c r="D130" s="411" t="s">
        <v>415</v>
      </c>
      <c r="E130" s="413">
        <v>0.08</v>
      </c>
      <c r="F130" s="414">
        <v>7.31</v>
      </c>
      <c r="G130" s="415">
        <f>E130*F130</f>
        <v>0.58479999999999999</v>
      </c>
      <c r="H130" s="416">
        <f t="shared" si="56"/>
        <v>0</v>
      </c>
      <c r="I130" s="416">
        <f>(G130+H130)*J$4</f>
        <v>0.114036</v>
      </c>
      <c r="J130" s="417">
        <f>G130+H130+I130</f>
        <v>0.69883600000000001</v>
      </c>
    </row>
    <row r="131" spans="1:10" s="339" customFormat="1" ht="28.8">
      <c r="A131" s="441" t="s">
        <v>810</v>
      </c>
      <c r="B131" s="428" t="s">
        <v>2471</v>
      </c>
      <c r="C131" s="435" t="s">
        <v>811</v>
      </c>
      <c r="D131" s="434" t="s">
        <v>431</v>
      </c>
      <c r="E131" s="429">
        <v>1</v>
      </c>
      <c r="F131" s="436">
        <v>21.76</v>
      </c>
      <c r="G131" s="442">
        <f>E131*F131</f>
        <v>21.76</v>
      </c>
      <c r="H131" s="437">
        <v>0</v>
      </c>
      <c r="I131" s="437">
        <f>(G131+H131)*J$4</f>
        <v>4.2432000000000007</v>
      </c>
      <c r="J131" s="438">
        <f>G131+H131+I131</f>
        <v>26.003200000000003</v>
      </c>
    </row>
    <row r="132" spans="1:10" s="339" customFormat="1" ht="57.6">
      <c r="A132" s="419" t="str">
        <f>ORÇAMENTO!C113</f>
        <v>COMPOSIÇÃO</v>
      </c>
      <c r="B132" s="420" t="str">
        <f>ORÇAMENTO!D113</f>
        <v>FDE - 07/2023 + SINAPI SP - 08/2023</v>
      </c>
      <c r="C132" s="421" t="str">
        <f>ORÇAMENTO!E113</f>
        <v xml:space="preserve">BUCHA DE REDUÇÃO PARA ELETRODUTO PARA CONEXÃO APARAFUSADA, TIPO PESADO, FABRICADA EM LIGA DE ALUMÍNIO SILÍCIO COM PARAFUSO EM AÇO BICROMATIZADO, ACOPLÁVEL EM CONDULETES 'Ø 40 (1.1/2") X 25 (1") </v>
      </c>
      <c r="D132" s="420" t="str">
        <f>ORÇAMENTO!F113</f>
        <v>UNID</v>
      </c>
      <c r="E132" s="422" t="s">
        <v>712</v>
      </c>
      <c r="F132" s="423" t="s">
        <v>712</v>
      </c>
      <c r="G132" s="424" t="s">
        <v>712</v>
      </c>
      <c r="H132" s="424" t="s">
        <v>712</v>
      </c>
      <c r="I132" s="424" t="s">
        <v>712</v>
      </c>
      <c r="J132" s="425">
        <f>SUM(J133:J135)</f>
        <v>26.117919999999998</v>
      </c>
    </row>
    <row r="133" spans="1:10" s="339" customFormat="1">
      <c r="A133" s="410" t="s">
        <v>706</v>
      </c>
      <c r="B133" s="428" t="s">
        <v>2474</v>
      </c>
      <c r="C133" s="412" t="s">
        <v>434</v>
      </c>
      <c r="D133" s="411" t="s">
        <v>415</v>
      </c>
      <c r="E133" s="413">
        <v>0.08</v>
      </c>
      <c r="F133" s="414">
        <v>8.89</v>
      </c>
      <c r="G133" s="415">
        <f>E133*F133</f>
        <v>0.71120000000000005</v>
      </c>
      <c r="H133" s="416">
        <f t="shared" ref="H133:H134" si="57">G133*$J$3</f>
        <v>0</v>
      </c>
      <c r="I133" s="416">
        <f>(G133+H133)*J$4</f>
        <v>0.138684</v>
      </c>
      <c r="J133" s="417">
        <f>G133+H133+I133</f>
        <v>0.84988400000000008</v>
      </c>
    </row>
    <row r="134" spans="1:10" s="339" customFormat="1">
      <c r="A134" s="410" t="s">
        <v>1128</v>
      </c>
      <c r="B134" s="428" t="s">
        <v>2474</v>
      </c>
      <c r="C134" s="412" t="s">
        <v>705</v>
      </c>
      <c r="D134" s="411" t="s">
        <v>415</v>
      </c>
      <c r="E134" s="413">
        <v>0.08</v>
      </c>
      <c r="F134" s="414">
        <v>7.31</v>
      </c>
      <c r="G134" s="415">
        <f>E134*F134</f>
        <v>0.58479999999999999</v>
      </c>
      <c r="H134" s="416">
        <f t="shared" si="57"/>
        <v>0</v>
      </c>
      <c r="I134" s="416">
        <f>(G134+H134)*J$4</f>
        <v>0.114036</v>
      </c>
      <c r="J134" s="417">
        <f>G134+H134+I134</f>
        <v>0.69883600000000001</v>
      </c>
    </row>
    <row r="135" spans="1:10" s="339" customFormat="1" ht="28.8">
      <c r="A135" s="441" t="s">
        <v>815</v>
      </c>
      <c r="B135" s="428" t="s">
        <v>2471</v>
      </c>
      <c r="C135" s="435" t="s">
        <v>814</v>
      </c>
      <c r="D135" s="434" t="s">
        <v>431</v>
      </c>
      <c r="E135" s="429">
        <v>1</v>
      </c>
      <c r="F135" s="436">
        <v>20.56</v>
      </c>
      <c r="G135" s="442">
        <f>E135*F135</f>
        <v>20.56</v>
      </c>
      <c r="H135" s="437">
        <v>0</v>
      </c>
      <c r="I135" s="437">
        <f>(G135+H135)*J$4</f>
        <v>4.0091999999999999</v>
      </c>
      <c r="J135" s="438">
        <f>G135+H135+I135</f>
        <v>24.569199999999999</v>
      </c>
    </row>
    <row r="136" spans="1:10" ht="28.8">
      <c r="A136" s="419" t="str">
        <f>ORÇAMENTO!C114</f>
        <v>09.85.062</v>
      </c>
      <c r="B136" s="420" t="str">
        <f>ORÇAMENTO!D114</f>
        <v>FDE - 07/2023</v>
      </c>
      <c r="C136" s="421" t="str">
        <f>ORÇAMENTO!E114</f>
        <v>BUCHA PARA ELETRODUTO SEM ROSCA, FABRICADA EM LIGA DE ALUMÍNIO, FORNECIDA COM PARAFUSOS DE FIXAÇÃO Ø 4"</v>
      </c>
      <c r="D136" s="420" t="str">
        <f>ORÇAMENTO!F114</f>
        <v>UNID</v>
      </c>
      <c r="E136" s="422" t="s">
        <v>712</v>
      </c>
      <c r="F136" s="423" t="s">
        <v>712</v>
      </c>
      <c r="G136" s="424" t="s">
        <v>712</v>
      </c>
      <c r="H136" s="424" t="s">
        <v>712</v>
      </c>
      <c r="I136" s="424" t="s">
        <v>712</v>
      </c>
      <c r="J136" s="425">
        <f>SUM(J137:J139)</f>
        <v>34.208069999999999</v>
      </c>
    </row>
    <row r="137" spans="1:10">
      <c r="A137" s="410" t="s">
        <v>706</v>
      </c>
      <c r="B137" s="428" t="s">
        <v>2474</v>
      </c>
      <c r="C137" s="412" t="s">
        <v>434</v>
      </c>
      <c r="D137" s="411" t="s">
        <v>415</v>
      </c>
      <c r="E137" s="413">
        <v>0.08</v>
      </c>
      <c r="F137" s="414">
        <v>8.89</v>
      </c>
      <c r="G137" s="415">
        <f>E137*F137</f>
        <v>0.71120000000000005</v>
      </c>
      <c r="H137" s="416">
        <f t="shared" ref="H137:H138" si="58">G137*$J$3</f>
        <v>0</v>
      </c>
      <c r="I137" s="416">
        <f>(G137+H137)*J$4</f>
        <v>0.138684</v>
      </c>
      <c r="J137" s="417">
        <f>G137+H137+I137</f>
        <v>0.84988400000000008</v>
      </c>
    </row>
    <row r="138" spans="1:10">
      <c r="A138" s="410" t="s">
        <v>1128</v>
      </c>
      <c r="B138" s="428" t="s">
        <v>2474</v>
      </c>
      <c r="C138" s="412" t="s">
        <v>705</v>
      </c>
      <c r="D138" s="411" t="s">
        <v>415</v>
      </c>
      <c r="E138" s="413">
        <v>0.08</v>
      </c>
      <c r="F138" s="414">
        <v>7.31</v>
      </c>
      <c r="G138" s="415">
        <f>E138*F138</f>
        <v>0.58479999999999999</v>
      </c>
      <c r="H138" s="416">
        <f t="shared" si="58"/>
        <v>0</v>
      </c>
      <c r="I138" s="416">
        <f>(G138+H138)*J$4</f>
        <v>0.114036</v>
      </c>
      <c r="J138" s="417">
        <f>G138+H138+I138</f>
        <v>0.69883600000000001</v>
      </c>
    </row>
    <row r="139" spans="1:10" s="335" customFormat="1" ht="28.8">
      <c r="A139" s="410">
        <v>2641</v>
      </c>
      <c r="B139" s="428" t="s">
        <v>2471</v>
      </c>
      <c r="C139" s="435" t="s">
        <v>1238</v>
      </c>
      <c r="D139" s="434" t="s">
        <v>431</v>
      </c>
      <c r="E139" s="429">
        <v>1</v>
      </c>
      <c r="F139" s="436">
        <v>27.33</v>
      </c>
      <c r="G139" s="442">
        <f>E139*F139</f>
        <v>27.33</v>
      </c>
      <c r="H139" s="437">
        <v>0</v>
      </c>
      <c r="I139" s="437">
        <f>(G139+H139)*J$4</f>
        <v>5.3293499999999998</v>
      </c>
      <c r="J139" s="438">
        <f>G139+H139+I139</f>
        <v>32.659349999999996</v>
      </c>
    </row>
    <row r="140" spans="1:10" ht="111" customHeight="1">
      <c r="A140" s="419" t="str">
        <f>ORÇAMENTO!C121</f>
        <v>09.85.062</v>
      </c>
      <c r="B140" s="420" t="s">
        <v>2474</v>
      </c>
      <c r="C140" s="421" t="s">
        <v>821</v>
      </c>
      <c r="D140" s="420" t="s">
        <v>431</v>
      </c>
      <c r="E140" s="422">
        <v>1</v>
      </c>
      <c r="F140" s="423">
        <v>68.63</v>
      </c>
      <c r="G140" s="424" t="s">
        <v>712</v>
      </c>
      <c r="H140" s="424" t="s">
        <v>712</v>
      </c>
      <c r="I140" s="424">
        <f>F140*J$4</f>
        <v>13.382849999999999</v>
      </c>
      <c r="J140" s="425">
        <f>I140+F140</f>
        <v>82.01285</v>
      </c>
    </row>
    <row r="141" spans="1:10" ht="93.75" customHeight="1">
      <c r="A141" s="419" t="str">
        <f>ORÇAMENTO!C125</f>
        <v>38.21.140</v>
      </c>
      <c r="B141" s="420" t="str">
        <f>ORÇAMENTO!D125</f>
        <v>CDHU - BOLETIM 191</v>
      </c>
      <c r="C141" s="421" t="str">
        <f>ORÇAMENTO!E125</f>
        <v>Eletrocalha lisa galvanizada a fogo, 200 x 50 mm, com acessórios</v>
      </c>
      <c r="D141" s="420" t="str">
        <f>ORÇAMENTO!F125</f>
        <v>M</v>
      </c>
      <c r="E141" s="422">
        <v>1</v>
      </c>
      <c r="F141" s="423">
        <v>133.91999999999999</v>
      </c>
      <c r="G141" s="424" t="s">
        <v>712</v>
      </c>
      <c r="H141" s="424" t="s">
        <v>712</v>
      </c>
      <c r="I141" s="424">
        <f t="shared" ref="I141:I145" si="59">F141*J$4</f>
        <v>26.1144</v>
      </c>
      <c r="J141" s="425">
        <f t="shared" ref="J141:J145" si="60">I141+F141</f>
        <v>160.03439999999998</v>
      </c>
    </row>
    <row r="142" spans="1:10" ht="138.75" customHeight="1">
      <c r="A142" s="419" t="s">
        <v>1408</v>
      </c>
      <c r="B142" s="420" t="str">
        <f>ORÇAMENTO!D128</f>
        <v>CDHU - BOLETIM 191</v>
      </c>
      <c r="C142" s="421" t="str">
        <f>ORÇAMENTO!E128</f>
        <v>Eletroduto galvanizado a quente conforme NBR5598 ‐ 1 1/2´ com
acessórios</v>
      </c>
      <c r="D142" s="420" t="str">
        <f>ORÇAMENTO!F128</f>
        <v>M</v>
      </c>
      <c r="E142" s="422">
        <v>1</v>
      </c>
      <c r="F142" s="423">
        <v>111.35</v>
      </c>
      <c r="G142" s="424" t="s">
        <v>712</v>
      </c>
      <c r="H142" s="424" t="s">
        <v>712</v>
      </c>
      <c r="I142" s="424">
        <f t="shared" si="59"/>
        <v>21.713249999999999</v>
      </c>
      <c r="J142" s="425">
        <f t="shared" si="60"/>
        <v>133.06324999999998</v>
      </c>
    </row>
    <row r="143" spans="1:10" ht="28.8">
      <c r="A143" s="419">
        <f>ORÇAMENTO!C138</f>
        <v>92994</v>
      </c>
      <c r="B143" s="420" t="str">
        <f>ORÇAMENTO!D138</f>
        <v>SINAPI SP - 08/2023</v>
      </c>
      <c r="C143" s="421" t="s">
        <v>836</v>
      </c>
      <c r="D143" s="420" t="str">
        <f>ORÇAMENTO!F138</f>
        <v>M</v>
      </c>
      <c r="E143" s="422">
        <v>1</v>
      </c>
      <c r="F143" s="423">
        <v>105.42</v>
      </c>
      <c r="G143" s="424" t="s">
        <v>712</v>
      </c>
      <c r="H143" s="424" t="s">
        <v>712</v>
      </c>
      <c r="I143" s="424">
        <f t="shared" si="59"/>
        <v>20.556900000000002</v>
      </c>
      <c r="J143" s="425">
        <f t="shared" si="60"/>
        <v>125.9769</v>
      </c>
    </row>
    <row r="144" spans="1:10" ht="80.25" customHeight="1">
      <c r="A144" s="419" t="str">
        <f>ORÇAMENTO!C143</f>
        <v>09.82.028</v>
      </c>
      <c r="B144" s="420" t="str">
        <f>ORÇAMENTO!D143</f>
        <v>FDE - 07/2023</v>
      </c>
      <c r="C144" s="421" t="str">
        <f>ORÇAMENTO!E143</f>
        <v>TERMINAL OU CONECTOR DE PRESSAO PARA CABO 35MM</v>
      </c>
      <c r="D144" s="420" t="str">
        <f>ORÇAMENTO!F143</f>
        <v>UNID</v>
      </c>
      <c r="E144" s="422">
        <v>1</v>
      </c>
      <c r="F144" s="423">
        <v>28.62</v>
      </c>
      <c r="G144" s="424" t="s">
        <v>712</v>
      </c>
      <c r="H144" s="424" t="s">
        <v>712</v>
      </c>
      <c r="I144" s="424">
        <f t="shared" si="59"/>
        <v>5.5809000000000006</v>
      </c>
      <c r="J144" s="425">
        <f t="shared" si="60"/>
        <v>34.200900000000004</v>
      </c>
    </row>
    <row r="145" spans="1:10" ht="57" customHeight="1">
      <c r="A145" s="419" t="s">
        <v>1245</v>
      </c>
      <c r="B145" s="420" t="s">
        <v>2474</v>
      </c>
      <c r="C145" s="421" t="s">
        <v>1244</v>
      </c>
      <c r="D145" s="420" t="str">
        <f>ORÇAMENTO!F144</f>
        <v>UNID</v>
      </c>
      <c r="E145" s="422">
        <v>1</v>
      </c>
      <c r="F145" s="423">
        <v>56.55</v>
      </c>
      <c r="G145" s="424" t="s">
        <v>712</v>
      </c>
      <c r="H145" s="424" t="s">
        <v>712</v>
      </c>
      <c r="I145" s="424">
        <f t="shared" si="59"/>
        <v>11.02725</v>
      </c>
      <c r="J145" s="425">
        <f t="shared" si="60"/>
        <v>67.577249999999992</v>
      </c>
    </row>
    <row r="146" spans="1:10" ht="57.6">
      <c r="A146" s="419" t="str">
        <f>ORÇAMENTO!C145</f>
        <v>COMPOSIÇÃO</v>
      </c>
      <c r="B146" s="420" t="str">
        <f>ORÇAMENTO!D145</f>
        <v>CDHU - BOLETIM 191 + FDE - 07/2023 + SINAPI SP - 08/2023</v>
      </c>
      <c r="C146" s="421" t="str">
        <f>ORÇAMENTO!E145</f>
        <v>PARA PAINEL ELÉTRICO 024 - PROFESSORA MARIA APARECIDA</v>
      </c>
      <c r="D146" s="420" t="str">
        <f>ORÇAMENTO!F145</f>
        <v>UNID</v>
      </c>
      <c r="E146" s="422" t="s">
        <v>712</v>
      </c>
      <c r="F146" s="423" t="s">
        <v>712</v>
      </c>
      <c r="G146" s="424" t="s">
        <v>712</v>
      </c>
      <c r="H146" s="424" t="s">
        <v>712</v>
      </c>
      <c r="I146" s="424" t="s">
        <v>712</v>
      </c>
      <c r="J146" s="425">
        <f>SUM(J147:J153)</f>
        <v>19463.085856000002</v>
      </c>
    </row>
    <row r="147" spans="1:10" s="325" customFormat="1" ht="28.8">
      <c r="A147" s="410" t="s">
        <v>706</v>
      </c>
      <c r="B147" s="428" t="s">
        <v>2473</v>
      </c>
      <c r="C147" s="474" t="s">
        <v>1166</v>
      </c>
      <c r="D147" s="428" t="s">
        <v>541</v>
      </c>
      <c r="E147" s="429">
        <f>1.7*1.1</f>
        <v>1.87</v>
      </c>
      <c r="F147" s="414">
        <v>2827.84</v>
      </c>
      <c r="G147" s="415">
        <f t="shared" ref="G147:G153" si="61">E147*F147</f>
        <v>5288.0608000000002</v>
      </c>
      <c r="H147" s="416">
        <f t="shared" ref="H147:H153" si="62">G147*$J$3</f>
        <v>0</v>
      </c>
      <c r="I147" s="416">
        <f t="shared" ref="I147:I153" si="63">(G147+H147)*J$4</f>
        <v>1031.1718560000002</v>
      </c>
      <c r="J147" s="417">
        <f t="shared" ref="J147:J153" si="64">G147+H147+I147</f>
        <v>6319.2326560000001</v>
      </c>
    </row>
    <row r="148" spans="1:10" s="325" customFormat="1">
      <c r="A148" s="410" t="s">
        <v>1246</v>
      </c>
      <c r="B148" s="428" t="s">
        <v>2474</v>
      </c>
      <c r="C148" s="474" t="s">
        <v>874</v>
      </c>
      <c r="D148" s="411" t="s">
        <v>422</v>
      </c>
      <c r="E148" s="429">
        <v>1</v>
      </c>
      <c r="F148" s="414">
        <f>1723.25/1.195</f>
        <v>1442.0502092050208</v>
      </c>
      <c r="G148" s="415">
        <f t="shared" si="61"/>
        <v>1442.0502092050208</v>
      </c>
      <c r="H148" s="416">
        <f t="shared" si="62"/>
        <v>0</v>
      </c>
      <c r="I148" s="416">
        <f t="shared" si="63"/>
        <v>281.19979079497904</v>
      </c>
      <c r="J148" s="417">
        <f t="shared" si="64"/>
        <v>1723.2499999999998</v>
      </c>
    </row>
    <row r="149" spans="1:10" s="325" customFormat="1">
      <c r="A149" s="410" t="s">
        <v>1160</v>
      </c>
      <c r="B149" s="428" t="s">
        <v>2474</v>
      </c>
      <c r="C149" s="412" t="s">
        <v>1159</v>
      </c>
      <c r="D149" s="411" t="s">
        <v>422</v>
      </c>
      <c r="E149" s="429">
        <v>67</v>
      </c>
      <c r="F149" s="414">
        <f>79.32/1.195</f>
        <v>66.376569037656893</v>
      </c>
      <c r="G149" s="415">
        <f t="shared" si="61"/>
        <v>4447.2301255230122</v>
      </c>
      <c r="H149" s="416">
        <f t="shared" si="62"/>
        <v>0</v>
      </c>
      <c r="I149" s="416">
        <f t="shared" si="63"/>
        <v>867.20987447698747</v>
      </c>
      <c r="J149" s="417">
        <f t="shared" si="64"/>
        <v>5314.44</v>
      </c>
    </row>
    <row r="150" spans="1:10" s="325" customFormat="1" ht="28.8">
      <c r="A150" s="410">
        <v>1623</v>
      </c>
      <c r="B150" s="428" t="s">
        <v>2471</v>
      </c>
      <c r="C150" s="474" t="s">
        <v>1161</v>
      </c>
      <c r="D150" s="411" t="s">
        <v>422</v>
      </c>
      <c r="E150" s="429">
        <v>23</v>
      </c>
      <c r="F150" s="414">
        <v>161.22</v>
      </c>
      <c r="G150" s="415">
        <f t="shared" si="61"/>
        <v>3708.06</v>
      </c>
      <c r="H150" s="416">
        <f t="shared" si="62"/>
        <v>0</v>
      </c>
      <c r="I150" s="416">
        <f t="shared" si="63"/>
        <v>723.07169999999996</v>
      </c>
      <c r="J150" s="417">
        <f t="shared" si="64"/>
        <v>4431.1316999999999</v>
      </c>
    </row>
    <row r="151" spans="1:10" s="325" customFormat="1" ht="28.8">
      <c r="A151" s="410" t="s">
        <v>1163</v>
      </c>
      <c r="B151" s="428" t="s">
        <v>2473</v>
      </c>
      <c r="C151" s="412" t="s">
        <v>1162</v>
      </c>
      <c r="D151" s="411" t="s">
        <v>422</v>
      </c>
      <c r="E151" s="429">
        <v>2</v>
      </c>
      <c r="F151" s="414">
        <v>141.31</v>
      </c>
      <c r="G151" s="415">
        <f t="shared" si="61"/>
        <v>282.62</v>
      </c>
      <c r="H151" s="416">
        <f t="shared" si="62"/>
        <v>0</v>
      </c>
      <c r="I151" s="416">
        <f t="shared" si="63"/>
        <v>55.110900000000001</v>
      </c>
      <c r="J151" s="417">
        <f t="shared" si="64"/>
        <v>337.73090000000002</v>
      </c>
    </row>
    <row r="152" spans="1:10" s="325" customFormat="1" ht="15" customHeight="1">
      <c r="A152" s="410" t="s">
        <v>1165</v>
      </c>
      <c r="B152" s="428" t="s">
        <v>2473</v>
      </c>
      <c r="C152" s="412" t="s">
        <v>1164</v>
      </c>
      <c r="D152" s="411" t="s">
        <v>422</v>
      </c>
      <c r="E152" s="429">
        <v>1</v>
      </c>
      <c r="F152" s="414">
        <v>187.24</v>
      </c>
      <c r="G152" s="415">
        <f t="shared" si="61"/>
        <v>187.24</v>
      </c>
      <c r="H152" s="416">
        <f t="shared" si="62"/>
        <v>0</v>
      </c>
      <c r="I152" s="416">
        <f t="shared" si="63"/>
        <v>36.511800000000001</v>
      </c>
      <c r="J152" s="417">
        <f t="shared" si="64"/>
        <v>223.7518</v>
      </c>
    </row>
    <row r="153" spans="1:10" s="325" customFormat="1" ht="28.8">
      <c r="A153" s="410" t="s">
        <v>1168</v>
      </c>
      <c r="B153" s="428" t="s">
        <v>2473</v>
      </c>
      <c r="C153" s="474" t="s">
        <v>1167</v>
      </c>
      <c r="D153" s="428" t="s">
        <v>1158</v>
      </c>
      <c r="E153" s="429">
        <v>1</v>
      </c>
      <c r="F153" s="414">
        <v>931.84</v>
      </c>
      <c r="G153" s="415">
        <f t="shared" si="61"/>
        <v>931.84</v>
      </c>
      <c r="H153" s="416">
        <f t="shared" si="62"/>
        <v>0</v>
      </c>
      <c r="I153" s="416">
        <f t="shared" si="63"/>
        <v>181.70880000000002</v>
      </c>
      <c r="J153" s="417">
        <f t="shared" si="64"/>
        <v>1113.5488</v>
      </c>
    </row>
    <row r="154" spans="1:10" ht="57.75" customHeight="1">
      <c r="A154" s="419">
        <f>ORÇAMENTO!C209</f>
        <v>91930</v>
      </c>
      <c r="B154" s="420" t="s">
        <v>2471</v>
      </c>
      <c r="C154" s="421" t="s">
        <v>842</v>
      </c>
      <c r="D154" s="420" t="str">
        <f>ORÇAMENTO!F209</f>
        <v>M</v>
      </c>
      <c r="E154" s="422">
        <v>1</v>
      </c>
      <c r="F154" s="423">
        <v>9.06</v>
      </c>
      <c r="G154" s="424" t="s">
        <v>712</v>
      </c>
      <c r="H154" s="424" t="s">
        <v>712</v>
      </c>
      <c r="I154" s="424">
        <f>F154*J$4</f>
        <v>1.7667000000000002</v>
      </c>
      <c r="J154" s="425">
        <f>I154+F154</f>
        <v>10.826700000000001</v>
      </c>
    </row>
    <row r="155" spans="1:10" ht="79.5" customHeight="1">
      <c r="A155" s="419" t="str">
        <f>ORÇAMENTO!C226</f>
        <v>COMPOSIÇÃO</v>
      </c>
      <c r="B155" s="420" t="str">
        <f>B146</f>
        <v>CDHU - BOLETIM 191 + FDE - 07/2023 + SINAPI SP - 08/2023</v>
      </c>
      <c r="C155" s="421" t="str">
        <f>ORÇAMENTO!E226</f>
        <v>PARA PAINEL ELÉTRICO 025 - PROFESSORA SYLVIA FERREIRA</v>
      </c>
      <c r="D155" s="420" t="str">
        <f>ORÇAMENTO!F226</f>
        <v>UNID</v>
      </c>
      <c r="E155" s="422" t="s">
        <v>712</v>
      </c>
      <c r="F155" s="423" t="s">
        <v>712</v>
      </c>
      <c r="G155" s="424" t="s">
        <v>712</v>
      </c>
      <c r="H155" s="424" t="s">
        <v>712</v>
      </c>
      <c r="I155" s="424" t="s">
        <v>712</v>
      </c>
      <c r="J155" s="425">
        <f>SUM(J156:J162)</f>
        <v>21334.191556000002</v>
      </c>
    </row>
    <row r="156" spans="1:10" s="325" customFormat="1" ht="28.8">
      <c r="A156" s="410" t="s">
        <v>706</v>
      </c>
      <c r="B156" s="428" t="s">
        <v>2473</v>
      </c>
      <c r="C156" s="474" t="s">
        <v>1166</v>
      </c>
      <c r="D156" s="428" t="s">
        <v>541</v>
      </c>
      <c r="E156" s="429">
        <f>1.7*1.1</f>
        <v>1.87</v>
      </c>
      <c r="F156" s="414">
        <v>2827.84</v>
      </c>
      <c r="G156" s="415">
        <f t="shared" ref="G156:G162" si="65">E156*F156</f>
        <v>5288.0608000000002</v>
      </c>
      <c r="H156" s="416">
        <f t="shared" ref="H156:H162" si="66">G156*$J$3</f>
        <v>0</v>
      </c>
      <c r="I156" s="416">
        <f t="shared" ref="I156:I162" si="67">(G156+H156)*J$4</f>
        <v>1031.1718560000002</v>
      </c>
      <c r="J156" s="417">
        <f t="shared" ref="J156:J162" si="68">G156+H156+I156</f>
        <v>6319.2326560000001</v>
      </c>
    </row>
    <row r="157" spans="1:10" s="325" customFormat="1">
      <c r="A157" s="410" t="s">
        <v>1246</v>
      </c>
      <c r="B157" s="428" t="s">
        <v>2474</v>
      </c>
      <c r="C157" s="474" t="s">
        <v>874</v>
      </c>
      <c r="D157" s="411" t="s">
        <v>422</v>
      </c>
      <c r="E157" s="429">
        <v>1</v>
      </c>
      <c r="F157" s="414">
        <f>1723.25/1.195</f>
        <v>1442.0502092050208</v>
      </c>
      <c r="G157" s="415">
        <f t="shared" si="65"/>
        <v>1442.0502092050208</v>
      </c>
      <c r="H157" s="416">
        <f t="shared" si="66"/>
        <v>0</v>
      </c>
      <c r="I157" s="416">
        <f t="shared" si="67"/>
        <v>281.19979079497904</v>
      </c>
      <c r="J157" s="417">
        <f t="shared" si="68"/>
        <v>1723.2499999999998</v>
      </c>
    </row>
    <row r="158" spans="1:10" s="325" customFormat="1">
      <c r="A158" s="410" t="s">
        <v>1160</v>
      </c>
      <c r="B158" s="428" t="s">
        <v>2474</v>
      </c>
      <c r="C158" s="412" t="s">
        <v>1159</v>
      </c>
      <c r="D158" s="411" t="s">
        <v>422</v>
      </c>
      <c r="E158" s="429">
        <v>79</v>
      </c>
      <c r="F158" s="414">
        <f>79.32/1.195</f>
        <v>66.376569037656893</v>
      </c>
      <c r="G158" s="415">
        <f t="shared" si="65"/>
        <v>5243.7489539748949</v>
      </c>
      <c r="H158" s="416">
        <f t="shared" si="66"/>
        <v>0</v>
      </c>
      <c r="I158" s="416">
        <f t="shared" si="67"/>
        <v>1022.5310460251045</v>
      </c>
      <c r="J158" s="417">
        <f t="shared" si="68"/>
        <v>6266.28</v>
      </c>
    </row>
    <row r="159" spans="1:10" s="325" customFormat="1" ht="28.8">
      <c r="A159" s="410">
        <v>1623</v>
      </c>
      <c r="B159" s="441" t="str">
        <f>ORÇAMENTO!D218</f>
        <v>SINAPI SP - 08/2023</v>
      </c>
      <c r="C159" s="474" t="s">
        <v>1161</v>
      </c>
      <c r="D159" s="411" t="s">
        <v>422</v>
      </c>
      <c r="E159" s="429">
        <v>28</v>
      </c>
      <c r="F159" s="414">
        <v>161.22</v>
      </c>
      <c r="G159" s="415">
        <f t="shared" si="65"/>
        <v>4514.16</v>
      </c>
      <c r="H159" s="416">
        <f t="shared" si="66"/>
        <v>0</v>
      </c>
      <c r="I159" s="416">
        <f t="shared" si="67"/>
        <v>880.26120000000003</v>
      </c>
      <c r="J159" s="417">
        <f t="shared" si="68"/>
        <v>5394.4211999999998</v>
      </c>
    </row>
    <row r="160" spans="1:10" s="325" customFormat="1" ht="28.8">
      <c r="A160" s="410" t="s">
        <v>1163</v>
      </c>
      <c r="B160" s="428" t="s">
        <v>2473</v>
      </c>
      <c r="C160" s="412" t="s">
        <v>1162</v>
      </c>
      <c r="D160" s="411" t="s">
        <v>422</v>
      </c>
      <c r="E160" s="429">
        <v>2</v>
      </c>
      <c r="F160" s="414">
        <v>122.89</v>
      </c>
      <c r="G160" s="415">
        <f t="shared" si="65"/>
        <v>245.78</v>
      </c>
      <c r="H160" s="416">
        <f t="shared" si="66"/>
        <v>0</v>
      </c>
      <c r="I160" s="416">
        <f t="shared" si="67"/>
        <v>47.927100000000003</v>
      </c>
      <c r="J160" s="417">
        <f t="shared" si="68"/>
        <v>293.70710000000003</v>
      </c>
    </row>
    <row r="161" spans="1:10" s="325" customFormat="1" ht="15" customHeight="1">
      <c r="A161" s="410" t="s">
        <v>1165</v>
      </c>
      <c r="B161" s="428" t="s">
        <v>2473</v>
      </c>
      <c r="C161" s="412" t="s">
        <v>1164</v>
      </c>
      <c r="D161" s="411" t="s">
        <v>422</v>
      </c>
      <c r="E161" s="429">
        <v>1</v>
      </c>
      <c r="F161" s="414">
        <v>187.24</v>
      </c>
      <c r="G161" s="415">
        <f t="shared" si="65"/>
        <v>187.24</v>
      </c>
      <c r="H161" s="416">
        <f t="shared" si="66"/>
        <v>0</v>
      </c>
      <c r="I161" s="416">
        <f t="shared" si="67"/>
        <v>36.511800000000001</v>
      </c>
      <c r="J161" s="417">
        <f t="shared" si="68"/>
        <v>223.7518</v>
      </c>
    </row>
    <row r="162" spans="1:10" s="325" customFormat="1" ht="28.8">
      <c r="A162" s="410" t="s">
        <v>1168</v>
      </c>
      <c r="B162" s="428" t="s">
        <v>2473</v>
      </c>
      <c r="C162" s="474" t="s">
        <v>1167</v>
      </c>
      <c r="D162" s="428" t="s">
        <v>1158</v>
      </c>
      <c r="E162" s="429">
        <v>1</v>
      </c>
      <c r="F162" s="414">
        <v>931.84</v>
      </c>
      <c r="G162" s="415">
        <f t="shared" si="65"/>
        <v>931.84</v>
      </c>
      <c r="H162" s="416">
        <f t="shared" si="66"/>
        <v>0</v>
      </c>
      <c r="I162" s="416">
        <f t="shared" si="67"/>
        <v>181.70880000000002</v>
      </c>
      <c r="J162" s="417">
        <f t="shared" si="68"/>
        <v>1113.5488</v>
      </c>
    </row>
    <row r="163" spans="1:10" ht="139.5" customHeight="1">
      <c r="A163" s="419" t="s">
        <v>1383</v>
      </c>
      <c r="B163" s="420" t="s">
        <v>2473</v>
      </c>
      <c r="C163" s="421" t="s">
        <v>1382</v>
      </c>
      <c r="D163" s="420" t="s">
        <v>412</v>
      </c>
      <c r="E163" s="422">
        <v>1</v>
      </c>
      <c r="F163" s="423">
        <v>212.36</v>
      </c>
      <c r="G163" s="424" t="s">
        <v>712</v>
      </c>
      <c r="H163" s="424" t="s">
        <v>712</v>
      </c>
      <c r="I163" s="424">
        <f>F163*J$4</f>
        <v>41.410200000000003</v>
      </c>
      <c r="J163" s="425">
        <f>I163+F163</f>
        <v>253.77020000000002</v>
      </c>
    </row>
    <row r="164" spans="1:10" ht="43.2">
      <c r="A164" s="419">
        <f>ORÇAMENTO!C282</f>
        <v>92986</v>
      </c>
      <c r="B164" s="420" t="s">
        <v>2471</v>
      </c>
      <c r="C164" s="421" t="str">
        <f>ORÇAMENTO!E282</f>
        <v>CABO DE COBRE FLEXÍVEL ISOLADO, 35 MM², ANTI-CHAMA 0,6/1,0 KV, PARA DISTRIBUIÇÃO - FORNECIMENTO E INSTALAÇÃO. AF_12/2015 ( COR: VERDE)</v>
      </c>
      <c r="D164" s="420" t="str">
        <f>ORÇAMENTO!F282</f>
        <v>M</v>
      </c>
      <c r="E164" s="422">
        <v>1</v>
      </c>
      <c r="F164" s="423">
        <v>32.17</v>
      </c>
      <c r="G164" s="424" t="s">
        <v>712</v>
      </c>
      <c r="H164" s="424" t="s">
        <v>712</v>
      </c>
      <c r="I164" s="424">
        <f t="shared" ref="I164:I166" si="69">F164*J$4</f>
        <v>6.2731500000000002</v>
      </c>
      <c r="J164" s="425">
        <f t="shared" ref="J164:J166" si="70">I164+F164</f>
        <v>38.443150000000003</v>
      </c>
    </row>
    <row r="165" spans="1:10" ht="144.75" customHeight="1">
      <c r="A165" s="419">
        <f>ORÇAMENTO!C351</f>
        <v>92990</v>
      </c>
      <c r="B165" s="420" t="s">
        <v>2471</v>
      </c>
      <c r="C165" s="421" t="s">
        <v>852</v>
      </c>
      <c r="D165" s="420" t="str">
        <f>ORÇAMENTO!F351</f>
        <v>M</v>
      </c>
      <c r="E165" s="422">
        <v>1</v>
      </c>
      <c r="F165" s="423">
        <v>63.26</v>
      </c>
      <c r="G165" s="424" t="s">
        <v>712</v>
      </c>
      <c r="H165" s="424" t="s">
        <v>712</v>
      </c>
      <c r="I165" s="424">
        <f t="shared" si="69"/>
        <v>12.335699999999999</v>
      </c>
      <c r="J165" s="425">
        <f t="shared" si="70"/>
        <v>75.595699999999994</v>
      </c>
    </row>
    <row r="166" spans="1:10" ht="67.5" customHeight="1">
      <c r="A166" s="419" t="str">
        <f>ORÇAMENTO!C288</f>
        <v>09.82.032</v>
      </c>
      <c r="B166" s="420" t="str">
        <f>ORÇAMENTO!D288</f>
        <v>FDE - 07/2023</v>
      </c>
      <c r="C166" s="421" t="str">
        <f>ORÇAMENTO!E288</f>
        <v>TERMINAÇÕES DE CONDUTORES DE COBRE FLEXÍVEIS E RÍGIDOS, 70MM2.</v>
      </c>
      <c r="D166" s="420" t="str">
        <f>ORÇAMENTO!F288</f>
        <v>UNID</v>
      </c>
      <c r="E166" s="422">
        <v>1</v>
      </c>
      <c r="F166" s="423">
        <v>47.32</v>
      </c>
      <c r="G166" s="424" t="s">
        <v>712</v>
      </c>
      <c r="H166" s="424" t="s">
        <v>712</v>
      </c>
      <c r="I166" s="424">
        <f t="shared" si="69"/>
        <v>9.2274000000000012</v>
      </c>
      <c r="J166" s="425">
        <f t="shared" si="70"/>
        <v>56.547400000000003</v>
      </c>
    </row>
    <row r="167" spans="1:10" ht="80.25" customHeight="1">
      <c r="A167" s="419" t="str">
        <f>ORÇAMENTO!C289</f>
        <v>COMPOSIÇÃO</v>
      </c>
      <c r="B167" s="420" t="str">
        <f>ORÇAMENTO!D289</f>
        <v>CDHU - BOLETIM 191 + FDE - 07/2023 + SINAPI SP - 08/2023</v>
      </c>
      <c r="C167" s="421" t="str">
        <f>ORÇAMENTO!E289</f>
        <v>PARA PAINEL ELÉTRICO 023 - IZAURA ROQUE</v>
      </c>
      <c r="D167" s="420" t="str">
        <f>ORÇAMENTO!F289</f>
        <v>UNID</v>
      </c>
      <c r="E167" s="422" t="s">
        <v>712</v>
      </c>
      <c r="F167" s="423" t="s">
        <v>712</v>
      </c>
      <c r="G167" s="424" t="s">
        <v>712</v>
      </c>
      <c r="H167" s="424" t="s">
        <v>712</v>
      </c>
      <c r="I167" s="424" t="s">
        <v>712</v>
      </c>
      <c r="J167" s="425">
        <f>SUM(J168:J174)</f>
        <v>10253.662648</v>
      </c>
    </row>
    <row r="168" spans="1:10" s="325" customFormat="1" ht="28.8">
      <c r="A168" s="410" t="s">
        <v>706</v>
      </c>
      <c r="B168" s="428" t="s">
        <v>2473</v>
      </c>
      <c r="C168" s="474" t="s">
        <v>1166</v>
      </c>
      <c r="D168" s="428" t="s">
        <v>541</v>
      </c>
      <c r="E168" s="429">
        <f>0.8*1.2</f>
        <v>0.96</v>
      </c>
      <c r="F168" s="414">
        <v>2827.84</v>
      </c>
      <c r="G168" s="415">
        <f t="shared" ref="G168:G174" si="71">E168*F168</f>
        <v>2714.7264</v>
      </c>
      <c r="H168" s="416">
        <f t="shared" ref="H168:H174" si="72">G168*$J$3</f>
        <v>0</v>
      </c>
      <c r="I168" s="416">
        <f t="shared" ref="I168:I174" si="73">(G168+H168)*J$4</f>
        <v>529.37164800000005</v>
      </c>
      <c r="J168" s="417">
        <f t="shared" ref="J168:J174" si="74">G168+H168+I168</f>
        <v>3244.0980479999998</v>
      </c>
    </row>
    <row r="169" spans="1:10" s="325" customFormat="1">
      <c r="A169" s="410" t="s">
        <v>1364</v>
      </c>
      <c r="B169" s="428" t="s">
        <v>2474</v>
      </c>
      <c r="C169" s="474" t="s">
        <v>1363</v>
      </c>
      <c r="D169" s="411" t="s">
        <v>422</v>
      </c>
      <c r="E169" s="429">
        <v>1</v>
      </c>
      <c r="F169" s="414">
        <f>562.44/1.195</f>
        <v>470.6610878661088</v>
      </c>
      <c r="G169" s="415">
        <f t="shared" si="71"/>
        <v>470.6610878661088</v>
      </c>
      <c r="H169" s="416">
        <f t="shared" si="72"/>
        <v>0</v>
      </c>
      <c r="I169" s="416">
        <f t="shared" si="73"/>
        <v>91.778912133891225</v>
      </c>
      <c r="J169" s="417">
        <f t="shared" si="74"/>
        <v>562.44000000000005</v>
      </c>
    </row>
    <row r="170" spans="1:10" s="325" customFormat="1">
      <c r="A170" s="410" t="s">
        <v>1160</v>
      </c>
      <c r="B170" s="428" t="s">
        <v>2474</v>
      </c>
      <c r="C170" s="412" t="s">
        <v>1159</v>
      </c>
      <c r="D170" s="411" t="s">
        <v>422</v>
      </c>
      <c r="E170" s="429">
        <v>34</v>
      </c>
      <c r="F170" s="414">
        <f>79.32/1.195</f>
        <v>66.376569037656893</v>
      </c>
      <c r="G170" s="415">
        <f t="shared" si="71"/>
        <v>2256.8033472803345</v>
      </c>
      <c r="H170" s="416">
        <f t="shared" si="72"/>
        <v>0</v>
      </c>
      <c r="I170" s="416">
        <f t="shared" si="73"/>
        <v>440.07665271966522</v>
      </c>
      <c r="J170" s="417">
        <f t="shared" si="74"/>
        <v>2696.8799999999997</v>
      </c>
    </row>
    <row r="171" spans="1:10" s="325" customFormat="1" ht="28.8">
      <c r="A171" s="410">
        <v>1623</v>
      </c>
      <c r="B171" s="428" t="s">
        <v>2471</v>
      </c>
      <c r="C171" s="474" t="s">
        <v>1161</v>
      </c>
      <c r="D171" s="411" t="s">
        <v>422</v>
      </c>
      <c r="E171" s="429">
        <v>11</v>
      </c>
      <c r="F171" s="414">
        <v>161.22</v>
      </c>
      <c r="G171" s="415">
        <f t="shared" si="71"/>
        <v>1773.42</v>
      </c>
      <c r="H171" s="416">
        <f t="shared" si="72"/>
        <v>0</v>
      </c>
      <c r="I171" s="416">
        <f t="shared" si="73"/>
        <v>345.81690000000003</v>
      </c>
      <c r="J171" s="417">
        <f t="shared" si="74"/>
        <v>2119.2368999999999</v>
      </c>
    </row>
    <row r="172" spans="1:10" s="325" customFormat="1" ht="28.8">
      <c r="A172" s="410" t="s">
        <v>1163</v>
      </c>
      <c r="B172" s="428" t="s">
        <v>2473</v>
      </c>
      <c r="C172" s="412" t="s">
        <v>1162</v>
      </c>
      <c r="D172" s="411" t="s">
        <v>422</v>
      </c>
      <c r="E172" s="429">
        <v>2</v>
      </c>
      <c r="F172" s="414">
        <v>122.89</v>
      </c>
      <c r="G172" s="415">
        <f t="shared" si="71"/>
        <v>245.78</v>
      </c>
      <c r="H172" s="416">
        <f t="shared" si="72"/>
        <v>0</v>
      </c>
      <c r="I172" s="416">
        <f t="shared" si="73"/>
        <v>47.927100000000003</v>
      </c>
      <c r="J172" s="417">
        <f t="shared" si="74"/>
        <v>293.70710000000003</v>
      </c>
    </row>
    <row r="173" spans="1:10" s="325" customFormat="1" ht="28.8">
      <c r="A173" s="410" t="s">
        <v>1165</v>
      </c>
      <c r="B173" s="428" t="s">
        <v>2473</v>
      </c>
      <c r="C173" s="412" t="s">
        <v>1164</v>
      </c>
      <c r="D173" s="411" t="s">
        <v>422</v>
      </c>
      <c r="E173" s="429">
        <v>1</v>
      </c>
      <c r="F173" s="414">
        <v>187.24</v>
      </c>
      <c r="G173" s="415">
        <f t="shared" si="71"/>
        <v>187.24</v>
      </c>
      <c r="H173" s="416">
        <f t="shared" si="72"/>
        <v>0</v>
      </c>
      <c r="I173" s="416">
        <f t="shared" si="73"/>
        <v>36.511800000000001</v>
      </c>
      <c r="J173" s="417">
        <f t="shared" si="74"/>
        <v>223.7518</v>
      </c>
    </row>
    <row r="174" spans="1:10" s="325" customFormat="1" ht="28.8">
      <c r="A174" s="410" t="s">
        <v>1168</v>
      </c>
      <c r="B174" s="428" t="s">
        <v>2473</v>
      </c>
      <c r="C174" s="474" t="s">
        <v>1167</v>
      </c>
      <c r="D174" s="428" t="s">
        <v>1158</v>
      </c>
      <c r="E174" s="429">
        <v>1</v>
      </c>
      <c r="F174" s="414">
        <v>931.84</v>
      </c>
      <c r="G174" s="415">
        <f t="shared" si="71"/>
        <v>931.84</v>
      </c>
      <c r="H174" s="416">
        <f t="shared" si="72"/>
        <v>0</v>
      </c>
      <c r="I174" s="416">
        <f t="shared" si="73"/>
        <v>181.70880000000002</v>
      </c>
      <c r="J174" s="417">
        <f t="shared" si="74"/>
        <v>1113.5488</v>
      </c>
    </row>
    <row r="175" spans="1:10" ht="84.75" customHeight="1">
      <c r="A175" s="419" t="str">
        <f>ORÇAMENTO!C359</f>
        <v>COMPOSIÇÃO</v>
      </c>
      <c r="B175" s="420" t="s">
        <v>2476</v>
      </c>
      <c r="C175" s="421" t="str">
        <f>ORÇAMENTO!E359</f>
        <v>PARA PAINEL ELÉTRICO 014 - FERNANDA DA SILVA</v>
      </c>
      <c r="D175" s="420" t="str">
        <f>ORÇAMENTO!F359</f>
        <v>UNID</v>
      </c>
      <c r="E175" s="422" t="s">
        <v>712</v>
      </c>
      <c r="F175" s="423" t="s">
        <v>712</v>
      </c>
      <c r="G175" s="424" t="s">
        <v>712</v>
      </c>
      <c r="H175" s="424" t="s">
        <v>712</v>
      </c>
      <c r="I175" s="424" t="s">
        <v>712</v>
      </c>
      <c r="J175" s="425">
        <f>SUM(J176:J182)</f>
        <v>11765.646564000002</v>
      </c>
    </row>
    <row r="176" spans="1:10" s="325" customFormat="1" ht="28.8">
      <c r="A176" s="410" t="s">
        <v>706</v>
      </c>
      <c r="B176" s="428" t="s">
        <v>2473</v>
      </c>
      <c r="C176" s="474" t="s">
        <v>1166</v>
      </c>
      <c r="D176" s="428" t="s">
        <v>541</v>
      </c>
      <c r="E176" s="429">
        <f>0.8*1.6</f>
        <v>1.2800000000000002</v>
      </c>
      <c r="F176" s="414">
        <v>2827.84</v>
      </c>
      <c r="G176" s="415">
        <f t="shared" ref="G176:G182" si="75">E176*F176</f>
        <v>3619.6352000000011</v>
      </c>
      <c r="H176" s="416">
        <f t="shared" ref="H176:H182" si="76">G176*$J$3</f>
        <v>0</v>
      </c>
      <c r="I176" s="416">
        <f t="shared" ref="I176:I182" si="77">(G176+H176)*J$4</f>
        <v>705.82886400000018</v>
      </c>
      <c r="J176" s="417">
        <f t="shared" ref="J176:J182" si="78">G176+H176+I176</f>
        <v>4325.4640640000016</v>
      </c>
    </row>
    <row r="177" spans="1:10" s="325" customFormat="1">
      <c r="A177" s="410" t="s">
        <v>1364</v>
      </c>
      <c r="B177" s="428" t="s">
        <v>2474</v>
      </c>
      <c r="C177" s="474" t="s">
        <v>1363</v>
      </c>
      <c r="D177" s="411" t="s">
        <v>422</v>
      </c>
      <c r="E177" s="429">
        <v>1</v>
      </c>
      <c r="F177" s="414">
        <f>562.44/1.195</f>
        <v>470.6610878661088</v>
      </c>
      <c r="G177" s="415">
        <f t="shared" si="75"/>
        <v>470.6610878661088</v>
      </c>
      <c r="H177" s="416">
        <f t="shared" si="76"/>
        <v>0</v>
      </c>
      <c r="I177" s="416">
        <f t="shared" si="77"/>
        <v>91.778912133891225</v>
      </c>
      <c r="J177" s="417">
        <f t="shared" si="78"/>
        <v>562.44000000000005</v>
      </c>
    </row>
    <row r="178" spans="1:10" s="325" customFormat="1">
      <c r="A178" s="410" t="s">
        <v>1160</v>
      </c>
      <c r="B178" s="428" t="s">
        <v>2474</v>
      </c>
      <c r="C178" s="412" t="s">
        <v>1159</v>
      </c>
      <c r="D178" s="411" t="s">
        <v>422</v>
      </c>
      <c r="E178" s="429">
        <v>37</v>
      </c>
      <c r="F178" s="414">
        <f>79.32/1.195</f>
        <v>66.376569037656893</v>
      </c>
      <c r="G178" s="415">
        <f t="shared" si="75"/>
        <v>2455.9330543933052</v>
      </c>
      <c r="H178" s="416">
        <f t="shared" si="76"/>
        <v>0</v>
      </c>
      <c r="I178" s="416">
        <f t="shared" si="77"/>
        <v>478.90694560669453</v>
      </c>
      <c r="J178" s="417">
        <f t="shared" si="78"/>
        <v>2934.8399999999997</v>
      </c>
    </row>
    <row r="179" spans="1:10" s="325" customFormat="1" ht="28.8">
      <c r="A179" s="410">
        <v>1623</v>
      </c>
      <c r="B179" s="428" t="s">
        <v>2471</v>
      </c>
      <c r="C179" s="474" t="s">
        <v>1161</v>
      </c>
      <c r="D179" s="411" t="s">
        <v>422</v>
      </c>
      <c r="E179" s="429">
        <v>12</v>
      </c>
      <c r="F179" s="414">
        <v>161.22</v>
      </c>
      <c r="G179" s="415">
        <f t="shared" si="75"/>
        <v>1934.6399999999999</v>
      </c>
      <c r="H179" s="416">
        <f t="shared" si="76"/>
        <v>0</v>
      </c>
      <c r="I179" s="416">
        <f t="shared" si="77"/>
        <v>377.25479999999999</v>
      </c>
      <c r="J179" s="417">
        <f t="shared" si="78"/>
        <v>2311.8948</v>
      </c>
    </row>
    <row r="180" spans="1:10" s="325" customFormat="1" ht="28.8">
      <c r="A180" s="410" t="s">
        <v>1163</v>
      </c>
      <c r="B180" s="428" t="s">
        <v>2473</v>
      </c>
      <c r="C180" s="412" t="s">
        <v>1162</v>
      </c>
      <c r="D180" s="411" t="s">
        <v>422</v>
      </c>
      <c r="E180" s="429">
        <v>2</v>
      </c>
      <c r="F180" s="414">
        <v>122.89</v>
      </c>
      <c r="G180" s="415">
        <f t="shared" si="75"/>
        <v>245.78</v>
      </c>
      <c r="H180" s="416">
        <f t="shared" si="76"/>
        <v>0</v>
      </c>
      <c r="I180" s="416">
        <f t="shared" si="77"/>
        <v>47.927100000000003</v>
      </c>
      <c r="J180" s="417">
        <f t="shared" si="78"/>
        <v>293.70710000000003</v>
      </c>
    </row>
    <row r="181" spans="1:10" s="325" customFormat="1" ht="15" customHeight="1">
      <c r="A181" s="410" t="s">
        <v>1165</v>
      </c>
      <c r="B181" s="428" t="s">
        <v>2473</v>
      </c>
      <c r="C181" s="412" t="s">
        <v>1164</v>
      </c>
      <c r="D181" s="411" t="s">
        <v>422</v>
      </c>
      <c r="E181" s="429">
        <v>1</v>
      </c>
      <c r="F181" s="414">
        <v>187.24</v>
      </c>
      <c r="G181" s="415">
        <f t="shared" si="75"/>
        <v>187.24</v>
      </c>
      <c r="H181" s="416">
        <f t="shared" si="76"/>
        <v>0</v>
      </c>
      <c r="I181" s="416">
        <f t="shared" si="77"/>
        <v>36.511800000000001</v>
      </c>
      <c r="J181" s="417">
        <f t="shared" si="78"/>
        <v>223.7518</v>
      </c>
    </row>
    <row r="182" spans="1:10" s="325" customFormat="1" ht="28.8">
      <c r="A182" s="410" t="s">
        <v>1168</v>
      </c>
      <c r="B182" s="428" t="s">
        <v>2473</v>
      </c>
      <c r="C182" s="474" t="s">
        <v>1167</v>
      </c>
      <c r="D182" s="428" t="s">
        <v>1158</v>
      </c>
      <c r="E182" s="429">
        <v>1</v>
      </c>
      <c r="F182" s="414">
        <v>931.84</v>
      </c>
      <c r="G182" s="415">
        <f t="shared" si="75"/>
        <v>931.84</v>
      </c>
      <c r="H182" s="416">
        <f t="shared" si="76"/>
        <v>0</v>
      </c>
      <c r="I182" s="416">
        <f t="shared" si="77"/>
        <v>181.70880000000002</v>
      </c>
      <c r="J182" s="417">
        <f t="shared" si="78"/>
        <v>1113.5488</v>
      </c>
    </row>
    <row r="183" spans="1:10" ht="84" customHeight="1">
      <c r="A183" s="419" t="str">
        <f>ORÇAMENTO!C420</f>
        <v>COMPOSIÇÃO</v>
      </c>
      <c r="B183" s="420" t="str">
        <f>$B$146</f>
        <v>CDHU - BOLETIM 191 + FDE - 07/2023 + SINAPI SP - 08/2023</v>
      </c>
      <c r="C183" s="421" t="str">
        <f>ORÇAMENTO!E420</f>
        <v>PARA PAINEL ELÉTRICO 010 - FRANCISCO SALLES</v>
      </c>
      <c r="D183" s="420" t="str">
        <f>ORÇAMENTO!F420</f>
        <v>Uni.</v>
      </c>
      <c r="E183" s="422" t="s">
        <v>712</v>
      </c>
      <c r="F183" s="423" t="s">
        <v>712</v>
      </c>
      <c r="G183" s="424" t="s">
        <v>712</v>
      </c>
      <c r="H183" s="424" t="s">
        <v>712</v>
      </c>
      <c r="I183" s="424" t="s">
        <v>712</v>
      </c>
      <c r="J183" s="425">
        <f>SUM(J184:J190)</f>
        <v>10174.342648</v>
      </c>
    </row>
    <row r="184" spans="1:10" s="325" customFormat="1" ht="28.8">
      <c r="A184" s="410" t="s">
        <v>706</v>
      </c>
      <c r="B184" s="428" t="s">
        <v>2473</v>
      </c>
      <c r="C184" s="474" t="s">
        <v>1166</v>
      </c>
      <c r="D184" s="428" t="s">
        <v>541</v>
      </c>
      <c r="E184" s="429">
        <v>0.96</v>
      </c>
      <c r="F184" s="414">
        <v>2827.84</v>
      </c>
      <c r="G184" s="415">
        <f t="shared" ref="G184:G190" si="79">E184*F184</f>
        <v>2714.7264</v>
      </c>
      <c r="H184" s="416">
        <f t="shared" ref="H184:H190" si="80">G184*$J$3</f>
        <v>0</v>
      </c>
      <c r="I184" s="416">
        <f t="shared" ref="I184:I190" si="81">(G184+H184)*J$4</f>
        <v>529.37164800000005</v>
      </c>
      <c r="J184" s="417">
        <f t="shared" ref="J184:J190" si="82">G184+H184+I184</f>
        <v>3244.0980479999998</v>
      </c>
    </row>
    <row r="185" spans="1:10" s="325" customFormat="1">
      <c r="A185" s="410" t="s">
        <v>875</v>
      </c>
      <c r="B185" s="428" t="s">
        <v>2474</v>
      </c>
      <c r="C185" s="474" t="s">
        <v>1157</v>
      </c>
      <c r="D185" s="411" t="s">
        <v>422</v>
      </c>
      <c r="E185" s="429">
        <v>1</v>
      </c>
      <c r="F185" s="414">
        <f>F177</f>
        <v>470.6610878661088</v>
      </c>
      <c r="G185" s="415">
        <f t="shared" si="79"/>
        <v>470.6610878661088</v>
      </c>
      <c r="H185" s="416">
        <f t="shared" si="80"/>
        <v>0</v>
      </c>
      <c r="I185" s="416">
        <f t="shared" si="81"/>
        <v>91.778912133891225</v>
      </c>
      <c r="J185" s="417">
        <f t="shared" si="82"/>
        <v>562.44000000000005</v>
      </c>
    </row>
    <row r="186" spans="1:10" s="325" customFormat="1">
      <c r="A186" s="410" t="s">
        <v>1160</v>
      </c>
      <c r="B186" s="428" t="s">
        <v>2474</v>
      </c>
      <c r="C186" s="412" t="s">
        <v>1159</v>
      </c>
      <c r="D186" s="411" t="s">
        <v>422</v>
      </c>
      <c r="E186" s="429">
        <v>33</v>
      </c>
      <c r="F186" s="414">
        <f>F178</f>
        <v>66.376569037656893</v>
      </c>
      <c r="G186" s="415">
        <f t="shared" si="79"/>
        <v>2190.4267782426773</v>
      </c>
      <c r="H186" s="416">
        <f t="shared" si="80"/>
        <v>0</v>
      </c>
      <c r="I186" s="416">
        <f t="shared" si="81"/>
        <v>427.13322175732208</v>
      </c>
      <c r="J186" s="417">
        <f t="shared" si="82"/>
        <v>2617.5599999999995</v>
      </c>
    </row>
    <row r="187" spans="1:10" s="325" customFormat="1" ht="28.8">
      <c r="A187" s="410">
        <v>1623</v>
      </c>
      <c r="B187" s="428" t="s">
        <v>2471</v>
      </c>
      <c r="C187" s="474" t="s">
        <v>1161</v>
      </c>
      <c r="D187" s="411" t="s">
        <v>422</v>
      </c>
      <c r="E187" s="429">
        <v>11</v>
      </c>
      <c r="F187" s="414">
        <v>161.22</v>
      </c>
      <c r="G187" s="415">
        <f t="shared" si="79"/>
        <v>1773.42</v>
      </c>
      <c r="H187" s="416">
        <f t="shared" si="80"/>
        <v>0</v>
      </c>
      <c r="I187" s="416">
        <f t="shared" si="81"/>
        <v>345.81690000000003</v>
      </c>
      <c r="J187" s="417">
        <f t="shared" si="82"/>
        <v>2119.2368999999999</v>
      </c>
    </row>
    <row r="188" spans="1:10" s="325" customFormat="1" ht="28.8">
      <c r="A188" s="410" t="s">
        <v>1163</v>
      </c>
      <c r="B188" s="428" t="s">
        <v>2473</v>
      </c>
      <c r="C188" s="412" t="s">
        <v>1162</v>
      </c>
      <c r="D188" s="411" t="s">
        <v>422</v>
      </c>
      <c r="E188" s="429">
        <v>2</v>
      </c>
      <c r="F188" s="414">
        <v>122.89</v>
      </c>
      <c r="G188" s="415">
        <f t="shared" si="79"/>
        <v>245.78</v>
      </c>
      <c r="H188" s="416">
        <f t="shared" si="80"/>
        <v>0</v>
      </c>
      <c r="I188" s="416">
        <f t="shared" si="81"/>
        <v>47.927100000000003</v>
      </c>
      <c r="J188" s="417">
        <f t="shared" si="82"/>
        <v>293.70710000000003</v>
      </c>
    </row>
    <row r="189" spans="1:10" s="325" customFormat="1" ht="15" customHeight="1">
      <c r="A189" s="410" t="s">
        <v>1165</v>
      </c>
      <c r="B189" s="428" t="s">
        <v>2473</v>
      </c>
      <c r="C189" s="412" t="s">
        <v>1164</v>
      </c>
      <c r="D189" s="411" t="s">
        <v>422</v>
      </c>
      <c r="E189" s="429">
        <v>1</v>
      </c>
      <c r="F189" s="414">
        <v>187.24</v>
      </c>
      <c r="G189" s="415">
        <f t="shared" si="79"/>
        <v>187.24</v>
      </c>
      <c r="H189" s="416">
        <f t="shared" si="80"/>
        <v>0</v>
      </c>
      <c r="I189" s="416">
        <f t="shared" si="81"/>
        <v>36.511800000000001</v>
      </c>
      <c r="J189" s="417">
        <f t="shared" si="82"/>
        <v>223.7518</v>
      </c>
    </row>
    <row r="190" spans="1:10" s="325" customFormat="1" ht="28.8">
      <c r="A190" s="410" t="s">
        <v>1168</v>
      </c>
      <c r="B190" s="428" t="s">
        <v>2473</v>
      </c>
      <c r="C190" s="474" t="s">
        <v>1167</v>
      </c>
      <c r="D190" s="428" t="s">
        <v>1158</v>
      </c>
      <c r="E190" s="429">
        <v>1</v>
      </c>
      <c r="F190" s="414">
        <v>931.84</v>
      </c>
      <c r="G190" s="415">
        <f t="shared" si="79"/>
        <v>931.84</v>
      </c>
      <c r="H190" s="416">
        <f t="shared" si="80"/>
        <v>0</v>
      </c>
      <c r="I190" s="416">
        <f t="shared" si="81"/>
        <v>181.70880000000002</v>
      </c>
      <c r="J190" s="417">
        <f t="shared" si="82"/>
        <v>1113.5488</v>
      </c>
    </row>
    <row r="191" spans="1:10" ht="138" customHeight="1">
      <c r="A191" s="419" t="s">
        <v>1507</v>
      </c>
      <c r="B191" s="420" t="s">
        <v>2473</v>
      </c>
      <c r="C191" s="421" t="s">
        <v>1506</v>
      </c>
      <c r="D191" s="420" t="s">
        <v>412</v>
      </c>
      <c r="E191" s="422">
        <v>1</v>
      </c>
      <c r="F191" s="423">
        <v>128.12</v>
      </c>
      <c r="G191" s="424" t="s">
        <v>712</v>
      </c>
      <c r="H191" s="424" t="s">
        <v>712</v>
      </c>
      <c r="I191" s="424">
        <f>F191*J$4</f>
        <v>24.983400000000003</v>
      </c>
      <c r="J191" s="425">
        <f>I191+F191</f>
        <v>153.10340000000002</v>
      </c>
    </row>
    <row r="192" spans="1:10" ht="83.25" customHeight="1">
      <c r="A192" s="419" t="str">
        <f>ORÇAMENTO!C471</f>
        <v>COMPOSIÇÃO</v>
      </c>
      <c r="B192" s="420" t="str">
        <f>ORÇAMENTO!D471</f>
        <v>CDHU - BOLETIM 191 + FDE - 07/2023 + SINAPI SP - 08/2023</v>
      </c>
      <c r="C192" s="421" t="str">
        <f>ORÇAMENTO!E471</f>
        <v>PARA PAINEL ELÉTRICO 021 - CAEC 1</v>
      </c>
      <c r="D192" s="420" t="str">
        <f>ORÇAMENTO!F471</f>
        <v>Uni.</v>
      </c>
      <c r="E192" s="422" t="s">
        <v>712</v>
      </c>
      <c r="F192" s="423" t="s">
        <v>712</v>
      </c>
      <c r="G192" s="424" t="s">
        <v>712</v>
      </c>
      <c r="H192" s="424" t="s">
        <v>712</v>
      </c>
      <c r="I192" s="424" t="s">
        <v>712</v>
      </c>
      <c r="J192" s="425">
        <f>SUM(J193:J199)</f>
        <v>9880.1477560000003</v>
      </c>
    </row>
    <row r="193" spans="1:10" s="325" customFormat="1" ht="28.8">
      <c r="A193" s="410" t="s">
        <v>706</v>
      </c>
      <c r="B193" s="428" t="s">
        <v>2473</v>
      </c>
      <c r="C193" s="474" t="s">
        <v>1166</v>
      </c>
      <c r="D193" s="428" t="s">
        <v>541</v>
      </c>
      <c r="E193" s="429">
        <f>0.8*1.4</f>
        <v>1.1199999999999999</v>
      </c>
      <c r="F193" s="414">
        <v>2827.84</v>
      </c>
      <c r="G193" s="415">
        <f t="shared" ref="G193:G199" si="83">E193*F193</f>
        <v>3167.1807999999996</v>
      </c>
      <c r="H193" s="416">
        <f t="shared" ref="H193:H199" si="84">G193*$J$3</f>
        <v>0</v>
      </c>
      <c r="I193" s="416">
        <f t="shared" ref="I193:I199" si="85">(G193+H193)*J$4</f>
        <v>617.60025599999994</v>
      </c>
      <c r="J193" s="417">
        <f t="shared" ref="J193:J199" si="86">G193+H193+I193</f>
        <v>3784.7810559999998</v>
      </c>
    </row>
    <row r="194" spans="1:10" s="325" customFormat="1">
      <c r="A194" s="410" t="s">
        <v>876</v>
      </c>
      <c r="B194" s="428" t="s">
        <v>2474</v>
      </c>
      <c r="C194" s="474" t="s">
        <v>877</v>
      </c>
      <c r="D194" s="411" t="s">
        <v>422</v>
      </c>
      <c r="E194" s="429">
        <v>1</v>
      </c>
      <c r="F194" s="414">
        <f>158.18/1.195</f>
        <v>132.36820083682008</v>
      </c>
      <c r="G194" s="415">
        <f t="shared" si="83"/>
        <v>132.36820083682008</v>
      </c>
      <c r="H194" s="416">
        <f t="shared" si="84"/>
        <v>0</v>
      </c>
      <c r="I194" s="416">
        <f t="shared" si="85"/>
        <v>25.811799163179916</v>
      </c>
      <c r="J194" s="417">
        <f t="shared" si="86"/>
        <v>158.18</v>
      </c>
    </row>
    <row r="195" spans="1:10" s="325" customFormat="1">
      <c r="A195" s="410" t="s">
        <v>1160</v>
      </c>
      <c r="B195" s="428" t="s">
        <v>2474</v>
      </c>
      <c r="C195" s="412" t="s">
        <v>1159</v>
      </c>
      <c r="D195" s="411" t="s">
        <v>422</v>
      </c>
      <c r="E195" s="429">
        <v>30</v>
      </c>
      <c r="F195" s="414">
        <f>F186</f>
        <v>66.376569037656893</v>
      </c>
      <c r="G195" s="415">
        <f t="shared" si="83"/>
        <v>1991.2970711297069</v>
      </c>
      <c r="H195" s="416">
        <f t="shared" si="84"/>
        <v>0</v>
      </c>
      <c r="I195" s="416">
        <f t="shared" si="85"/>
        <v>388.30292887029287</v>
      </c>
      <c r="J195" s="417">
        <f t="shared" si="86"/>
        <v>2379.6</v>
      </c>
    </row>
    <row r="196" spans="1:10" s="325" customFormat="1" ht="28.8">
      <c r="A196" s="410">
        <v>1623</v>
      </c>
      <c r="B196" s="428" t="s">
        <v>2471</v>
      </c>
      <c r="C196" s="474" t="s">
        <v>1161</v>
      </c>
      <c r="D196" s="411" t="s">
        <v>422</v>
      </c>
      <c r="E196" s="429">
        <v>10</v>
      </c>
      <c r="F196" s="414">
        <v>161.22</v>
      </c>
      <c r="G196" s="415">
        <f t="shared" si="83"/>
        <v>1612.2</v>
      </c>
      <c r="H196" s="416">
        <f t="shared" si="84"/>
        <v>0</v>
      </c>
      <c r="I196" s="416">
        <f t="shared" si="85"/>
        <v>314.37900000000002</v>
      </c>
      <c r="J196" s="417">
        <f t="shared" si="86"/>
        <v>1926.5790000000002</v>
      </c>
    </row>
    <row r="197" spans="1:10" s="325" customFormat="1" ht="28.8">
      <c r="A197" s="410" t="s">
        <v>1163</v>
      </c>
      <c r="B197" s="428" t="s">
        <v>2473</v>
      </c>
      <c r="C197" s="412" t="s">
        <v>1162</v>
      </c>
      <c r="D197" s="411" t="s">
        <v>422</v>
      </c>
      <c r="E197" s="429">
        <v>2</v>
      </c>
      <c r="F197" s="414">
        <v>122.89</v>
      </c>
      <c r="G197" s="415">
        <f t="shared" si="83"/>
        <v>245.78</v>
      </c>
      <c r="H197" s="416">
        <f t="shared" si="84"/>
        <v>0</v>
      </c>
      <c r="I197" s="416">
        <f t="shared" si="85"/>
        <v>47.927100000000003</v>
      </c>
      <c r="J197" s="417">
        <f t="shared" si="86"/>
        <v>293.70710000000003</v>
      </c>
    </row>
    <row r="198" spans="1:10" s="325" customFormat="1" ht="15" customHeight="1">
      <c r="A198" s="410" t="s">
        <v>1165</v>
      </c>
      <c r="B198" s="428" t="s">
        <v>2473</v>
      </c>
      <c r="C198" s="412" t="s">
        <v>1164</v>
      </c>
      <c r="D198" s="411" t="s">
        <v>422</v>
      </c>
      <c r="E198" s="429">
        <v>1</v>
      </c>
      <c r="F198" s="414">
        <v>187.24</v>
      </c>
      <c r="G198" s="415">
        <f t="shared" si="83"/>
        <v>187.24</v>
      </c>
      <c r="H198" s="416">
        <f t="shared" si="84"/>
        <v>0</v>
      </c>
      <c r="I198" s="416">
        <f t="shared" si="85"/>
        <v>36.511800000000001</v>
      </c>
      <c r="J198" s="417">
        <f t="shared" si="86"/>
        <v>223.7518</v>
      </c>
    </row>
    <row r="199" spans="1:10" s="325" customFormat="1" ht="28.8">
      <c r="A199" s="410" t="s">
        <v>1168</v>
      </c>
      <c r="B199" s="428" t="s">
        <v>2473</v>
      </c>
      <c r="C199" s="474" t="s">
        <v>1167</v>
      </c>
      <c r="D199" s="428" t="s">
        <v>1158</v>
      </c>
      <c r="E199" s="429">
        <v>1</v>
      </c>
      <c r="F199" s="414">
        <v>931.84</v>
      </c>
      <c r="G199" s="415">
        <f t="shared" si="83"/>
        <v>931.84</v>
      </c>
      <c r="H199" s="416">
        <f t="shared" si="84"/>
        <v>0</v>
      </c>
      <c r="I199" s="416">
        <f t="shared" si="85"/>
        <v>181.70880000000002</v>
      </c>
      <c r="J199" s="417">
        <f t="shared" si="86"/>
        <v>1113.5488</v>
      </c>
    </row>
    <row r="200" spans="1:10" ht="57.6">
      <c r="A200" s="419" t="str">
        <f>ORÇAMENTO!C514</f>
        <v>COMPOSIÇÃO</v>
      </c>
      <c r="B200" s="420" t="str">
        <f>$B$167</f>
        <v>CDHU - BOLETIM 191 + FDE - 07/2023 + SINAPI SP - 08/2023</v>
      </c>
      <c r="C200" s="421" t="str">
        <f>ORÇAMENTO!E514</f>
        <v>PARA PAINEL ELÉTRICO 020 - CAEC 2</v>
      </c>
      <c r="D200" s="421" t="str">
        <f>ORÇAMENTO!F514</f>
        <v>Uni.</v>
      </c>
      <c r="E200" s="422" t="s">
        <v>712</v>
      </c>
      <c r="F200" s="423" t="s">
        <v>712</v>
      </c>
      <c r="G200" s="424" t="s">
        <v>712</v>
      </c>
      <c r="H200" s="424" t="s">
        <v>712</v>
      </c>
      <c r="I200" s="424" t="s">
        <v>712</v>
      </c>
      <c r="J200" s="425">
        <f>SUM(J201:J207)</f>
        <v>6996.9901399999999</v>
      </c>
    </row>
    <row r="201" spans="1:10" s="325" customFormat="1" ht="28.8">
      <c r="A201" s="410" t="s">
        <v>706</v>
      </c>
      <c r="B201" s="428" t="s">
        <v>2473</v>
      </c>
      <c r="C201" s="474" t="s">
        <v>1166</v>
      </c>
      <c r="D201" s="428" t="s">
        <v>541</v>
      </c>
      <c r="E201" s="429">
        <v>0.8</v>
      </c>
      <c r="F201" s="414">
        <v>2827.84</v>
      </c>
      <c r="G201" s="415">
        <f t="shared" ref="G201:G207" si="87">E201*F201</f>
        <v>2262.2720000000004</v>
      </c>
      <c r="H201" s="416">
        <f t="shared" ref="H201:H207" si="88">G201*$J$3</f>
        <v>0</v>
      </c>
      <c r="I201" s="416">
        <f t="shared" ref="I201:I207" si="89">(G201+H201)*J$4</f>
        <v>441.1430400000001</v>
      </c>
      <c r="J201" s="417">
        <f t="shared" ref="J201:J207" si="90">G201+H201+I201</f>
        <v>2703.4150400000003</v>
      </c>
    </row>
    <row r="202" spans="1:10" s="325" customFormat="1">
      <c r="A202" s="410" t="s">
        <v>876</v>
      </c>
      <c r="B202" s="428" t="s">
        <v>2474</v>
      </c>
      <c r="C202" s="474" t="s">
        <v>877</v>
      </c>
      <c r="D202" s="411" t="s">
        <v>422</v>
      </c>
      <c r="E202" s="429">
        <v>1</v>
      </c>
      <c r="F202" s="414">
        <f>F194</f>
        <v>132.36820083682008</v>
      </c>
      <c r="G202" s="415">
        <f t="shared" si="87"/>
        <v>132.36820083682008</v>
      </c>
      <c r="H202" s="416">
        <f t="shared" si="88"/>
        <v>0</v>
      </c>
      <c r="I202" s="416">
        <f t="shared" si="89"/>
        <v>25.811799163179916</v>
      </c>
      <c r="J202" s="417">
        <f t="shared" si="90"/>
        <v>158.18</v>
      </c>
    </row>
    <row r="203" spans="1:10" s="325" customFormat="1">
      <c r="A203" s="410" t="s">
        <v>1160</v>
      </c>
      <c r="B203" s="428" t="s">
        <v>2474</v>
      </c>
      <c r="C203" s="412" t="s">
        <v>1159</v>
      </c>
      <c r="D203" s="411" t="s">
        <v>422</v>
      </c>
      <c r="E203" s="429">
        <v>17</v>
      </c>
      <c r="F203" s="414">
        <f>F195</f>
        <v>66.376569037656893</v>
      </c>
      <c r="G203" s="415">
        <f t="shared" si="87"/>
        <v>1128.4016736401672</v>
      </c>
      <c r="H203" s="416">
        <f t="shared" si="88"/>
        <v>0</v>
      </c>
      <c r="I203" s="416">
        <f t="shared" si="89"/>
        <v>220.03832635983261</v>
      </c>
      <c r="J203" s="417">
        <f t="shared" si="90"/>
        <v>1348.4399999999998</v>
      </c>
    </row>
    <row r="204" spans="1:10" s="325" customFormat="1" ht="28.8">
      <c r="A204" s="410">
        <v>1623</v>
      </c>
      <c r="B204" s="428" t="s">
        <v>2471</v>
      </c>
      <c r="C204" s="474" t="s">
        <v>1161</v>
      </c>
      <c r="D204" s="411" t="s">
        <v>422</v>
      </c>
      <c r="E204" s="429">
        <v>6</v>
      </c>
      <c r="F204" s="414">
        <v>161.22</v>
      </c>
      <c r="G204" s="415">
        <f t="shared" si="87"/>
        <v>967.31999999999994</v>
      </c>
      <c r="H204" s="416">
        <f t="shared" si="88"/>
        <v>0</v>
      </c>
      <c r="I204" s="416">
        <f t="shared" si="89"/>
        <v>188.62739999999999</v>
      </c>
      <c r="J204" s="417">
        <f t="shared" si="90"/>
        <v>1155.9474</v>
      </c>
    </row>
    <row r="205" spans="1:10" s="325" customFormat="1" ht="28.8">
      <c r="A205" s="410" t="s">
        <v>1163</v>
      </c>
      <c r="B205" s="428" t="s">
        <v>2473</v>
      </c>
      <c r="C205" s="412" t="s">
        <v>1162</v>
      </c>
      <c r="D205" s="411" t="s">
        <v>422</v>
      </c>
      <c r="E205" s="429">
        <v>2</v>
      </c>
      <c r="F205" s="414">
        <v>122.89</v>
      </c>
      <c r="G205" s="415">
        <f t="shared" si="87"/>
        <v>245.78</v>
      </c>
      <c r="H205" s="416">
        <f t="shared" si="88"/>
        <v>0</v>
      </c>
      <c r="I205" s="416">
        <f t="shared" si="89"/>
        <v>47.927100000000003</v>
      </c>
      <c r="J205" s="417">
        <f t="shared" si="90"/>
        <v>293.70710000000003</v>
      </c>
    </row>
    <row r="206" spans="1:10" s="325" customFormat="1" ht="15" customHeight="1">
      <c r="A206" s="410" t="s">
        <v>1165</v>
      </c>
      <c r="B206" s="428" t="s">
        <v>2473</v>
      </c>
      <c r="C206" s="412" t="s">
        <v>1164</v>
      </c>
      <c r="D206" s="411" t="s">
        <v>422</v>
      </c>
      <c r="E206" s="429">
        <v>1</v>
      </c>
      <c r="F206" s="414">
        <v>187.24</v>
      </c>
      <c r="G206" s="415">
        <f t="shared" si="87"/>
        <v>187.24</v>
      </c>
      <c r="H206" s="416">
        <f t="shared" si="88"/>
        <v>0</v>
      </c>
      <c r="I206" s="416">
        <f t="shared" si="89"/>
        <v>36.511800000000001</v>
      </c>
      <c r="J206" s="417">
        <f t="shared" si="90"/>
        <v>223.7518</v>
      </c>
    </row>
    <row r="207" spans="1:10" s="325" customFormat="1" ht="28.8">
      <c r="A207" s="410" t="s">
        <v>1168</v>
      </c>
      <c r="B207" s="428" t="s">
        <v>2473</v>
      </c>
      <c r="C207" s="474" t="s">
        <v>1167</v>
      </c>
      <c r="D207" s="428" t="s">
        <v>1158</v>
      </c>
      <c r="E207" s="429">
        <v>1</v>
      </c>
      <c r="F207" s="414">
        <v>931.84</v>
      </c>
      <c r="G207" s="415">
        <f t="shared" si="87"/>
        <v>931.84</v>
      </c>
      <c r="H207" s="416">
        <f t="shared" si="88"/>
        <v>0</v>
      </c>
      <c r="I207" s="416">
        <f t="shared" si="89"/>
        <v>181.70880000000002</v>
      </c>
      <c r="J207" s="417">
        <f t="shared" si="90"/>
        <v>1113.5488</v>
      </c>
    </row>
    <row r="208" spans="1:10" ht="97.5" customHeight="1">
      <c r="A208" s="419" t="str">
        <f>ORÇAMENTO!C581</f>
        <v>COMPOSIÇÃO</v>
      </c>
      <c r="B208" s="420" t="str">
        <f>B200</f>
        <v>CDHU - BOLETIM 191 + FDE - 07/2023 + SINAPI SP - 08/2023</v>
      </c>
      <c r="C208" s="421" t="str">
        <f>ORÇAMENTO!E581</f>
        <v>PARA PAINEL ELÉTRICO 005 - IZOLINA</v>
      </c>
      <c r="D208" s="420" t="str">
        <f>ORÇAMENTO!F581</f>
        <v>Uni.</v>
      </c>
      <c r="E208" s="422" t="s">
        <v>712</v>
      </c>
      <c r="F208" s="423" t="s">
        <v>712</v>
      </c>
      <c r="G208" s="424" t="s">
        <v>712</v>
      </c>
      <c r="H208" s="424" t="s">
        <v>712</v>
      </c>
      <c r="I208" s="424" t="s">
        <v>712</v>
      </c>
      <c r="J208" s="425">
        <f>SUM(J209:J215)</f>
        <v>8961.8089479999999</v>
      </c>
    </row>
    <row r="209" spans="1:10" s="325" customFormat="1" ht="28.8">
      <c r="A209" s="410" t="s">
        <v>706</v>
      </c>
      <c r="B209" s="428" t="s">
        <v>2473</v>
      </c>
      <c r="C209" s="474" t="s">
        <v>1166</v>
      </c>
      <c r="D209" s="428" t="s">
        <v>541</v>
      </c>
      <c r="E209" s="429">
        <f>0.8*1.2</f>
        <v>0.96</v>
      </c>
      <c r="F209" s="414">
        <v>2827.84</v>
      </c>
      <c r="G209" s="415">
        <f t="shared" ref="G209:G215" si="91">E209*F209</f>
        <v>2714.7264</v>
      </c>
      <c r="H209" s="416">
        <f t="shared" ref="H209:H215" si="92">G209*$J$3</f>
        <v>0</v>
      </c>
      <c r="I209" s="416">
        <f t="shared" ref="I209:I215" si="93">(G209+H209)*J$4</f>
        <v>529.37164800000005</v>
      </c>
      <c r="J209" s="417">
        <f t="shared" ref="J209:J215" si="94">G209+H209+I209</f>
        <v>3244.0980479999998</v>
      </c>
    </row>
    <row r="210" spans="1:10" s="325" customFormat="1">
      <c r="A210" s="410" t="s">
        <v>875</v>
      </c>
      <c r="B210" s="428" t="s">
        <v>2474</v>
      </c>
      <c r="C210" s="474" t="s">
        <v>1157</v>
      </c>
      <c r="D210" s="411" t="s">
        <v>422</v>
      </c>
      <c r="E210" s="429">
        <v>1</v>
      </c>
      <c r="F210" s="414">
        <f>562.44/1.195</f>
        <v>470.6610878661088</v>
      </c>
      <c r="G210" s="415">
        <f t="shared" si="91"/>
        <v>470.6610878661088</v>
      </c>
      <c r="H210" s="416">
        <f t="shared" si="92"/>
        <v>0</v>
      </c>
      <c r="I210" s="416">
        <f t="shared" si="93"/>
        <v>91.778912133891225</v>
      </c>
      <c r="J210" s="417">
        <f t="shared" si="94"/>
        <v>562.44000000000005</v>
      </c>
    </row>
    <row r="211" spans="1:10" s="325" customFormat="1">
      <c r="A211" s="410" t="s">
        <v>1160</v>
      </c>
      <c r="B211" s="428" t="s">
        <v>2474</v>
      </c>
      <c r="C211" s="412" t="s">
        <v>1159</v>
      </c>
      <c r="D211" s="411" t="s">
        <v>422</v>
      </c>
      <c r="E211" s="429">
        <v>25</v>
      </c>
      <c r="F211" s="414">
        <f>F203</f>
        <v>66.376569037656893</v>
      </c>
      <c r="G211" s="415">
        <f t="shared" si="91"/>
        <v>1659.4142259414223</v>
      </c>
      <c r="H211" s="416">
        <f t="shared" si="92"/>
        <v>0</v>
      </c>
      <c r="I211" s="416">
        <f t="shared" si="93"/>
        <v>323.58577405857733</v>
      </c>
      <c r="J211" s="417">
        <f t="shared" si="94"/>
        <v>1982.9999999999995</v>
      </c>
    </row>
    <row r="212" spans="1:10" s="325" customFormat="1" ht="28.8">
      <c r="A212" s="410">
        <v>1623</v>
      </c>
      <c r="B212" s="428" t="s">
        <v>2471</v>
      </c>
      <c r="C212" s="474" t="s">
        <v>1161</v>
      </c>
      <c r="D212" s="411" t="s">
        <v>422</v>
      </c>
      <c r="E212" s="429">
        <v>8</v>
      </c>
      <c r="F212" s="414">
        <v>161.22</v>
      </c>
      <c r="G212" s="415">
        <f t="shared" si="91"/>
        <v>1289.76</v>
      </c>
      <c r="H212" s="416">
        <f t="shared" si="92"/>
        <v>0</v>
      </c>
      <c r="I212" s="416">
        <f t="shared" si="93"/>
        <v>251.50320000000002</v>
      </c>
      <c r="J212" s="417">
        <f t="shared" si="94"/>
        <v>1541.2632000000001</v>
      </c>
    </row>
    <row r="213" spans="1:10" s="325" customFormat="1" ht="28.8">
      <c r="A213" s="410" t="s">
        <v>1163</v>
      </c>
      <c r="B213" s="428" t="s">
        <v>2473</v>
      </c>
      <c r="C213" s="412" t="s">
        <v>1162</v>
      </c>
      <c r="D213" s="411" t="s">
        <v>422</v>
      </c>
      <c r="E213" s="429">
        <v>2</v>
      </c>
      <c r="F213" s="414">
        <v>122.89</v>
      </c>
      <c r="G213" s="415">
        <f t="shared" si="91"/>
        <v>245.78</v>
      </c>
      <c r="H213" s="416">
        <f t="shared" si="92"/>
        <v>0</v>
      </c>
      <c r="I213" s="416">
        <f t="shared" si="93"/>
        <v>47.927100000000003</v>
      </c>
      <c r="J213" s="417">
        <f t="shared" si="94"/>
        <v>293.70710000000003</v>
      </c>
    </row>
    <row r="214" spans="1:10" s="325" customFormat="1" ht="15" customHeight="1">
      <c r="A214" s="410" t="s">
        <v>1165</v>
      </c>
      <c r="B214" s="428" t="s">
        <v>2473</v>
      </c>
      <c r="C214" s="412" t="s">
        <v>1164</v>
      </c>
      <c r="D214" s="411" t="s">
        <v>422</v>
      </c>
      <c r="E214" s="429">
        <v>1</v>
      </c>
      <c r="F214" s="414">
        <v>187.24</v>
      </c>
      <c r="G214" s="415">
        <f t="shared" si="91"/>
        <v>187.24</v>
      </c>
      <c r="H214" s="416">
        <f t="shared" si="92"/>
        <v>0</v>
      </c>
      <c r="I214" s="416">
        <f t="shared" si="93"/>
        <v>36.511800000000001</v>
      </c>
      <c r="J214" s="417">
        <f t="shared" si="94"/>
        <v>223.7518</v>
      </c>
    </row>
    <row r="215" spans="1:10" s="325" customFormat="1" ht="28.8">
      <c r="A215" s="410" t="s">
        <v>1168</v>
      </c>
      <c r="B215" s="428" t="s">
        <v>2473</v>
      </c>
      <c r="C215" s="474" t="s">
        <v>1167</v>
      </c>
      <c r="D215" s="428" t="s">
        <v>1158</v>
      </c>
      <c r="E215" s="429">
        <v>1</v>
      </c>
      <c r="F215" s="414">
        <v>931.84</v>
      </c>
      <c r="G215" s="415">
        <f t="shared" si="91"/>
        <v>931.84</v>
      </c>
      <c r="H215" s="416">
        <f t="shared" si="92"/>
        <v>0</v>
      </c>
      <c r="I215" s="416">
        <f t="shared" si="93"/>
        <v>181.70880000000002</v>
      </c>
      <c r="J215" s="417">
        <f t="shared" si="94"/>
        <v>1113.5488</v>
      </c>
    </row>
    <row r="216" spans="1:10" ht="54.75" customHeight="1">
      <c r="A216" s="419">
        <v>92996</v>
      </c>
      <c r="B216" s="420" t="s">
        <v>2471</v>
      </c>
      <c r="C216" s="421" t="s">
        <v>860</v>
      </c>
      <c r="D216" s="420" t="str">
        <f>ORÇAMENTO!F286</f>
        <v>M</v>
      </c>
      <c r="E216" s="422">
        <v>1</v>
      </c>
      <c r="F216" s="423">
        <v>127.4</v>
      </c>
      <c r="G216" s="424" t="s">
        <v>712</v>
      </c>
      <c r="H216" s="424" t="s">
        <v>712</v>
      </c>
      <c r="I216" s="424">
        <f>F216*J$4</f>
        <v>24.843000000000004</v>
      </c>
      <c r="J216" s="425">
        <f>I216+F216</f>
        <v>152.24299999999999</v>
      </c>
    </row>
    <row r="217" spans="1:10" ht="93.75" customHeight="1">
      <c r="A217" s="419">
        <v>93000</v>
      </c>
      <c r="B217" s="420" t="s">
        <v>2471</v>
      </c>
      <c r="C217" s="421" t="s">
        <v>864</v>
      </c>
      <c r="D217" s="420" t="e">
        <f>ORÇAMENTO!#REF!</f>
        <v>#REF!</v>
      </c>
      <c r="E217" s="422">
        <v>1</v>
      </c>
      <c r="F217" s="423">
        <v>205.75</v>
      </c>
      <c r="G217" s="424" t="s">
        <v>712</v>
      </c>
      <c r="H217" s="424" t="s">
        <v>712</v>
      </c>
      <c r="I217" s="424">
        <f t="shared" ref="I217:I219" si="95">F217*J$4</f>
        <v>40.121250000000003</v>
      </c>
      <c r="J217" s="425">
        <f t="shared" ref="J217:J219" si="96">I217+F217</f>
        <v>245.87125</v>
      </c>
    </row>
    <row r="218" spans="1:10" ht="56.25" customHeight="1">
      <c r="A218" s="419" t="s">
        <v>2467</v>
      </c>
      <c r="B218" s="420" t="s">
        <v>2474</v>
      </c>
      <c r="C218" s="421" t="s">
        <v>1887</v>
      </c>
      <c r="D218" s="420" t="s">
        <v>422</v>
      </c>
      <c r="E218" s="422">
        <v>1</v>
      </c>
      <c r="F218" s="423">
        <v>48.69</v>
      </c>
      <c r="G218" s="424" t="s">
        <v>712</v>
      </c>
      <c r="H218" s="424" t="s">
        <v>712</v>
      </c>
      <c r="I218" s="424">
        <f t="shared" si="95"/>
        <v>9.4945500000000003</v>
      </c>
      <c r="J218" s="425">
        <f t="shared" si="96"/>
        <v>58.184550000000002</v>
      </c>
    </row>
    <row r="219" spans="1:10" ht="57" customHeight="1">
      <c r="A219" s="419" t="s">
        <v>1820</v>
      </c>
      <c r="B219" s="420" t="s">
        <v>2474</v>
      </c>
      <c r="C219" s="421" t="s">
        <v>1821</v>
      </c>
      <c r="D219" s="420" t="s">
        <v>422</v>
      </c>
      <c r="E219" s="422">
        <v>1</v>
      </c>
      <c r="F219" s="423">
        <v>62.84</v>
      </c>
      <c r="G219" s="424" t="s">
        <v>712</v>
      </c>
      <c r="H219" s="424" t="s">
        <v>712</v>
      </c>
      <c r="I219" s="424">
        <f t="shared" si="95"/>
        <v>12.253800000000002</v>
      </c>
      <c r="J219" s="425">
        <f t="shared" si="96"/>
        <v>75.093800000000002</v>
      </c>
    </row>
    <row r="220" spans="1:10" ht="83.25" customHeight="1">
      <c r="A220" s="419" t="str">
        <f>ORÇAMENTO!C633</f>
        <v>COMPOSIÇÃO</v>
      </c>
      <c r="B220" s="420" t="str">
        <f>ORÇAMENTO!D633</f>
        <v>CDHU - BOLETIM 191 + FDE - 07/2023 + SINAPI SP - 08/2023</v>
      </c>
      <c r="C220" s="421" t="str">
        <f>ORÇAMENTO!E633</f>
        <v>PARA PAINEL ELÉTRICO 022 - PROFESSORA ELAINE MARIA</v>
      </c>
      <c r="D220" s="420" t="str">
        <f>ORÇAMENTO!F633</f>
        <v>Uni.</v>
      </c>
      <c r="E220" s="422" t="s">
        <v>712</v>
      </c>
      <c r="F220" s="423" t="s">
        <v>712</v>
      </c>
      <c r="G220" s="424" t="s">
        <v>712</v>
      </c>
      <c r="H220" s="424" t="s">
        <v>712</v>
      </c>
      <c r="I220" s="424" t="s">
        <v>712</v>
      </c>
      <c r="J220" s="425">
        <f>SUM(J221:J227)</f>
        <v>8829.5268479999995</v>
      </c>
    </row>
    <row r="221" spans="1:10" s="325" customFormat="1" ht="28.8">
      <c r="A221" s="410" t="s">
        <v>706</v>
      </c>
      <c r="B221" s="428" t="s">
        <v>2473</v>
      </c>
      <c r="C221" s="474" t="s">
        <v>1166</v>
      </c>
      <c r="D221" s="428" t="s">
        <v>541</v>
      </c>
      <c r="E221" s="429">
        <f>0.8*1.2</f>
        <v>0.96</v>
      </c>
      <c r="F221" s="414">
        <v>2827.84</v>
      </c>
      <c r="G221" s="415">
        <f t="shared" ref="G221:G227" si="97">E221*F221</f>
        <v>2714.7264</v>
      </c>
      <c r="H221" s="416">
        <f t="shared" ref="H221:H227" si="98">G221*$J$3</f>
        <v>0</v>
      </c>
      <c r="I221" s="416">
        <f t="shared" ref="I221:I227" si="99">(G221+H221)*J$4</f>
        <v>529.37164800000005</v>
      </c>
      <c r="J221" s="417">
        <f t="shared" ref="J221:J227" si="100">G221+H221+I221</f>
        <v>3244.0980479999998</v>
      </c>
    </row>
    <row r="222" spans="1:10" s="325" customFormat="1">
      <c r="A222" s="410" t="s">
        <v>876</v>
      </c>
      <c r="B222" s="428" t="s">
        <v>2474</v>
      </c>
      <c r="C222" s="474" t="s">
        <v>877</v>
      </c>
      <c r="D222" s="411" t="s">
        <v>422</v>
      </c>
      <c r="E222" s="429">
        <v>1</v>
      </c>
      <c r="F222" s="414">
        <f>158.18/1.195</f>
        <v>132.36820083682008</v>
      </c>
      <c r="G222" s="415">
        <f t="shared" si="97"/>
        <v>132.36820083682008</v>
      </c>
      <c r="H222" s="416">
        <f t="shared" si="98"/>
        <v>0</v>
      </c>
      <c r="I222" s="416">
        <f t="shared" si="99"/>
        <v>25.811799163179916</v>
      </c>
      <c r="J222" s="417">
        <f t="shared" si="100"/>
        <v>158.18</v>
      </c>
    </row>
    <row r="223" spans="1:10" s="325" customFormat="1">
      <c r="A223" s="410" t="s">
        <v>1160</v>
      </c>
      <c r="B223" s="428" t="s">
        <v>2474</v>
      </c>
      <c r="C223" s="412" t="s">
        <v>1159</v>
      </c>
      <c r="D223" s="411" t="s">
        <v>422</v>
      </c>
      <c r="E223" s="429">
        <v>26</v>
      </c>
      <c r="F223" s="414">
        <f>79.32/1.195</f>
        <v>66.376569037656893</v>
      </c>
      <c r="G223" s="415">
        <f t="shared" si="97"/>
        <v>1725.7907949790792</v>
      </c>
      <c r="H223" s="416">
        <f t="shared" si="98"/>
        <v>0</v>
      </c>
      <c r="I223" s="416">
        <f t="shared" si="99"/>
        <v>336.52920502092047</v>
      </c>
      <c r="J223" s="417">
        <f t="shared" si="100"/>
        <v>2062.3199999999997</v>
      </c>
    </row>
    <row r="224" spans="1:10" s="325" customFormat="1" ht="28.8">
      <c r="A224" s="410">
        <v>1623</v>
      </c>
      <c r="B224" s="428" t="s">
        <v>2471</v>
      </c>
      <c r="C224" s="474" t="s">
        <v>1161</v>
      </c>
      <c r="D224" s="411" t="s">
        <v>422</v>
      </c>
      <c r="E224" s="429">
        <v>9</v>
      </c>
      <c r="F224" s="414">
        <v>161.22</v>
      </c>
      <c r="G224" s="415">
        <f t="shared" si="97"/>
        <v>1450.98</v>
      </c>
      <c r="H224" s="416">
        <f t="shared" si="98"/>
        <v>0</v>
      </c>
      <c r="I224" s="416">
        <f t="shared" si="99"/>
        <v>282.94110000000001</v>
      </c>
      <c r="J224" s="417">
        <f t="shared" si="100"/>
        <v>1733.9211</v>
      </c>
    </row>
    <row r="225" spans="1:10" s="325" customFormat="1" ht="28.8">
      <c r="A225" s="410" t="s">
        <v>1163</v>
      </c>
      <c r="B225" s="428" t="s">
        <v>2473</v>
      </c>
      <c r="C225" s="412" t="s">
        <v>1162</v>
      </c>
      <c r="D225" s="411" t="s">
        <v>422</v>
      </c>
      <c r="E225" s="429">
        <v>2</v>
      </c>
      <c r="F225" s="414">
        <v>122.89</v>
      </c>
      <c r="G225" s="415">
        <f t="shared" si="97"/>
        <v>245.78</v>
      </c>
      <c r="H225" s="416">
        <f t="shared" si="98"/>
        <v>0</v>
      </c>
      <c r="I225" s="416">
        <f t="shared" si="99"/>
        <v>47.927100000000003</v>
      </c>
      <c r="J225" s="417">
        <f t="shared" si="100"/>
        <v>293.70710000000003</v>
      </c>
    </row>
    <row r="226" spans="1:10" s="325" customFormat="1" ht="15" customHeight="1">
      <c r="A226" s="410" t="s">
        <v>1165</v>
      </c>
      <c r="B226" s="428" t="s">
        <v>2473</v>
      </c>
      <c r="C226" s="412" t="s">
        <v>1164</v>
      </c>
      <c r="D226" s="411" t="s">
        <v>422</v>
      </c>
      <c r="E226" s="429">
        <v>1</v>
      </c>
      <c r="F226" s="414">
        <v>187.24</v>
      </c>
      <c r="G226" s="415">
        <f t="shared" si="97"/>
        <v>187.24</v>
      </c>
      <c r="H226" s="416">
        <f t="shared" si="98"/>
        <v>0</v>
      </c>
      <c r="I226" s="416">
        <f t="shared" si="99"/>
        <v>36.511800000000001</v>
      </c>
      <c r="J226" s="417">
        <f t="shared" si="100"/>
        <v>223.7518</v>
      </c>
    </row>
    <row r="227" spans="1:10" s="325" customFormat="1" ht="28.8">
      <c r="A227" s="410" t="s">
        <v>1168</v>
      </c>
      <c r="B227" s="428" t="s">
        <v>2473</v>
      </c>
      <c r="C227" s="474" t="s">
        <v>1167</v>
      </c>
      <c r="D227" s="428" t="s">
        <v>1158</v>
      </c>
      <c r="E227" s="429">
        <v>1</v>
      </c>
      <c r="F227" s="414">
        <v>931.84</v>
      </c>
      <c r="G227" s="415">
        <f t="shared" si="97"/>
        <v>931.84</v>
      </c>
      <c r="H227" s="416">
        <f t="shared" si="98"/>
        <v>0</v>
      </c>
      <c r="I227" s="416">
        <f t="shared" si="99"/>
        <v>181.70880000000002</v>
      </c>
      <c r="J227" s="417">
        <f t="shared" si="100"/>
        <v>1113.5488</v>
      </c>
    </row>
    <row r="228" spans="1:10" ht="80.25" customHeight="1">
      <c r="A228" s="419" t="str">
        <f>ORÇAMENTO!C667</f>
        <v>COMPOSIÇÃO</v>
      </c>
      <c r="B228" s="420" t="s">
        <v>2471</v>
      </c>
      <c r="C228" s="421" t="str">
        <f>ORÇAMENTO!E667</f>
        <v>BUCHA DE REDUÇÃO PARA ELETRODUTO PARA CONEXÃO APARAFUSADA, TIPO PESADO, FABRICADA EM LIGA DE ALUMÍNIO SILÍCIO COM PARAFUSO EM AÇO BICROMATIZADO, ACOPLÁVEL EM CONDULETES Ø 50 (2") X 20 (3/4")</v>
      </c>
      <c r="D228" s="420" t="str">
        <f>ORÇAMENTO!F667</f>
        <v>UNID</v>
      </c>
      <c r="E228" s="422" t="s">
        <v>712</v>
      </c>
      <c r="F228" s="423" t="s">
        <v>712</v>
      </c>
      <c r="G228" s="424" t="s">
        <v>712</v>
      </c>
      <c r="H228" s="424" t="s">
        <v>712</v>
      </c>
      <c r="I228" s="424" t="s">
        <v>712</v>
      </c>
      <c r="J228" s="425">
        <f>SUM(J229:J231)</f>
        <v>65.736949999999993</v>
      </c>
    </row>
    <row r="229" spans="1:10" ht="28.8">
      <c r="A229" s="410" t="s">
        <v>727</v>
      </c>
      <c r="B229" s="428" t="s">
        <v>2471</v>
      </c>
      <c r="C229" s="412" t="s">
        <v>426</v>
      </c>
      <c r="D229" s="411" t="s">
        <v>415</v>
      </c>
      <c r="E229" s="446">
        <v>0.15</v>
      </c>
      <c r="F229" s="414">
        <v>34.58</v>
      </c>
      <c r="G229" s="415">
        <f>E229*F229</f>
        <v>5.1869999999999994</v>
      </c>
      <c r="H229" s="416">
        <f t="shared" ref="H229:H230" si="101">G229*$J$3</f>
        <v>0</v>
      </c>
      <c r="I229" s="416">
        <f>(G229+H229)*J$4</f>
        <v>1.0114649999999998</v>
      </c>
      <c r="J229" s="417">
        <f>G229+H229+I229</f>
        <v>6.1984649999999988</v>
      </c>
    </row>
    <row r="230" spans="1:10" ht="28.8">
      <c r="A230" s="410" t="s">
        <v>728</v>
      </c>
      <c r="B230" s="428" t="s">
        <v>2471</v>
      </c>
      <c r="C230" s="412" t="s">
        <v>428</v>
      </c>
      <c r="D230" s="411" t="s">
        <v>415</v>
      </c>
      <c r="E230" s="446">
        <v>0.15</v>
      </c>
      <c r="F230" s="414">
        <v>40.42</v>
      </c>
      <c r="G230" s="415">
        <f>E230*F230</f>
        <v>6.0629999999999997</v>
      </c>
      <c r="H230" s="416">
        <f t="shared" si="101"/>
        <v>0</v>
      </c>
      <c r="I230" s="416">
        <f>(G230+H230)*J$4</f>
        <v>1.182285</v>
      </c>
      <c r="J230" s="417">
        <f>G230+H230+I230</f>
        <v>7.245285</v>
      </c>
    </row>
    <row r="231" spans="1:10" ht="28.8">
      <c r="A231" s="441" t="s">
        <v>833</v>
      </c>
      <c r="B231" s="428" t="s">
        <v>2471</v>
      </c>
      <c r="C231" s="412" t="s">
        <v>834</v>
      </c>
      <c r="D231" s="428" t="s">
        <v>1158</v>
      </c>
      <c r="E231" s="429">
        <v>1</v>
      </c>
      <c r="F231" s="436">
        <v>43.76</v>
      </c>
      <c r="G231" s="415">
        <f>E231*F231</f>
        <v>43.76</v>
      </c>
      <c r="H231" s="416">
        <v>0</v>
      </c>
      <c r="I231" s="416">
        <f>(G231+H231)*J$4</f>
        <v>8.5332000000000008</v>
      </c>
      <c r="J231" s="417">
        <f>G231+H231+I231</f>
        <v>52.293199999999999</v>
      </c>
    </row>
    <row r="232" spans="1:10" ht="60" customHeight="1">
      <c r="A232" s="419" t="str">
        <f>ORÇAMENTO!C672</f>
        <v>09.85.063</v>
      </c>
      <c r="B232" s="420" t="s">
        <v>2474</v>
      </c>
      <c r="C232" s="421" t="s">
        <v>826</v>
      </c>
      <c r="D232" s="421" t="str">
        <f>ORÇAMENTO!F672</f>
        <v>UNID</v>
      </c>
      <c r="E232" s="422">
        <v>1</v>
      </c>
      <c r="F232" s="423">
        <f>114/1.195</f>
        <v>95.397489539748946</v>
      </c>
      <c r="G232" s="424" t="s">
        <v>712</v>
      </c>
      <c r="H232" s="424" t="s">
        <v>712</v>
      </c>
      <c r="I232" s="424">
        <f>F232*J$4</f>
        <v>18.602510460251047</v>
      </c>
      <c r="J232" s="425">
        <f>I232+F232</f>
        <v>114</v>
      </c>
    </row>
    <row r="233" spans="1:10" ht="78.75" customHeight="1">
      <c r="A233" s="419" t="str">
        <f>ORÇAMENTO!C674</f>
        <v>COMPOSIÇÃO</v>
      </c>
      <c r="B233" s="420" t="s">
        <v>2471</v>
      </c>
      <c r="C233" s="421" t="str">
        <f>ORÇAMENTO!E674</f>
        <v>CURVA PARA ELETRODUTO 90 FABRICADA COM TUBO DE ALUMÍNIO EXTRUDADO, TIPO PESADO SCHEDULE 40 SEM REBARBAS. FORNECIDA PROTETOR DE ROSCA BSP NAS EXTREMIDADES. Ø 2" (50MM)</v>
      </c>
      <c r="D233" s="420" t="str">
        <f>ORÇAMENTO!F674</f>
        <v>UNID</v>
      </c>
      <c r="E233" s="422" t="s">
        <v>712</v>
      </c>
      <c r="F233" s="423" t="s">
        <v>712</v>
      </c>
      <c r="G233" s="424" t="s">
        <v>712</v>
      </c>
      <c r="H233" s="424" t="s">
        <v>712</v>
      </c>
      <c r="I233" s="424" t="s">
        <v>712</v>
      </c>
      <c r="J233" s="425">
        <f>SUM(J234:J236)</f>
        <v>50.823350000000005</v>
      </c>
    </row>
    <row r="234" spans="1:10" ht="28.8">
      <c r="A234" s="410" t="s">
        <v>727</v>
      </c>
      <c r="B234" s="428" t="s">
        <v>2471</v>
      </c>
      <c r="C234" s="412" t="s">
        <v>426</v>
      </c>
      <c r="D234" s="411" t="s">
        <v>415</v>
      </c>
      <c r="E234" s="446">
        <v>0.2</v>
      </c>
      <c r="F234" s="414">
        <v>34.58</v>
      </c>
      <c r="G234" s="415">
        <f>E234*F234</f>
        <v>6.9160000000000004</v>
      </c>
      <c r="H234" s="416">
        <f t="shared" ref="H234:H235" si="102">G234*$J$3</f>
        <v>0</v>
      </c>
      <c r="I234" s="416">
        <f>(G234+H234)*J$4</f>
        <v>1.3486200000000002</v>
      </c>
      <c r="J234" s="417">
        <f>G234+H234+I234</f>
        <v>8.2646200000000007</v>
      </c>
    </row>
    <row r="235" spans="1:10" ht="28.8">
      <c r="A235" s="410" t="s">
        <v>728</v>
      </c>
      <c r="B235" s="428" t="s">
        <v>2471</v>
      </c>
      <c r="C235" s="412" t="s">
        <v>428</v>
      </c>
      <c r="D235" s="411" t="s">
        <v>415</v>
      </c>
      <c r="E235" s="446">
        <v>0.2</v>
      </c>
      <c r="F235" s="414">
        <v>40.42</v>
      </c>
      <c r="G235" s="415">
        <f>E235*F235</f>
        <v>8.0840000000000014</v>
      </c>
      <c r="H235" s="416">
        <f t="shared" si="102"/>
        <v>0</v>
      </c>
      <c r="I235" s="416">
        <f>(G235+H235)*J$4</f>
        <v>1.5763800000000003</v>
      </c>
      <c r="J235" s="417">
        <f>G235+H235+I235</f>
        <v>9.6603800000000017</v>
      </c>
    </row>
    <row r="236" spans="1:10" s="335" customFormat="1" ht="60" customHeight="1">
      <c r="A236" s="410">
        <v>2631</v>
      </c>
      <c r="B236" s="475" t="s">
        <v>2471</v>
      </c>
      <c r="C236" s="472" t="s">
        <v>1644</v>
      </c>
      <c r="D236" s="434" t="s">
        <v>431</v>
      </c>
      <c r="E236" s="429">
        <v>1</v>
      </c>
      <c r="F236" s="436">
        <v>27.53</v>
      </c>
      <c r="G236" s="442">
        <f>E236*F236</f>
        <v>27.53</v>
      </c>
      <c r="H236" s="437">
        <v>0</v>
      </c>
      <c r="I236" s="437">
        <f>(G236+H236)*J$4</f>
        <v>5.3683500000000004</v>
      </c>
      <c r="J236" s="438">
        <f>G236+H236+I236</f>
        <v>32.898350000000001</v>
      </c>
    </row>
    <row r="237" spans="1:10" ht="87" customHeight="1">
      <c r="A237" s="419" t="str">
        <f>ORÇAMENTO!C693</f>
        <v>COMPOSIÇÃO</v>
      </c>
      <c r="B237" s="420" t="str">
        <f>$B$220</f>
        <v>CDHU - BOLETIM 191 + FDE - 07/2023 + SINAPI SP - 08/2023</v>
      </c>
      <c r="C237" s="421" t="str">
        <f>ORÇAMENTO!E693</f>
        <v>PARA PAINEL ELÉTRICO 013 - ARLINDO MORANDINI</v>
      </c>
      <c r="D237" s="420" t="str">
        <f>ORÇAMENTO!F693</f>
        <v>Uni.</v>
      </c>
      <c r="E237" s="422" t="s">
        <v>712</v>
      </c>
      <c r="F237" s="423" t="s">
        <v>712</v>
      </c>
      <c r="G237" s="424" t="s">
        <v>712</v>
      </c>
      <c r="H237" s="424" t="s">
        <v>712</v>
      </c>
      <c r="I237" s="424" t="s">
        <v>712</v>
      </c>
      <c r="J237" s="425">
        <f>SUM(J238:J244)</f>
        <v>9233.7468479999989</v>
      </c>
    </row>
    <row r="238" spans="1:10" s="325" customFormat="1" ht="28.8">
      <c r="A238" s="410" t="s">
        <v>706</v>
      </c>
      <c r="B238" s="428" t="s">
        <v>2473</v>
      </c>
      <c r="C238" s="474" t="s">
        <v>1166</v>
      </c>
      <c r="D238" s="428" t="s">
        <v>541</v>
      </c>
      <c r="E238" s="429">
        <f>0.8*1.2</f>
        <v>0.96</v>
      </c>
      <c r="F238" s="414">
        <v>2827.84</v>
      </c>
      <c r="G238" s="415">
        <f t="shared" ref="G238:G244" si="103">E238*F238</f>
        <v>2714.7264</v>
      </c>
      <c r="H238" s="416">
        <f t="shared" ref="H238:H244" si="104">G238*$J$3</f>
        <v>0</v>
      </c>
      <c r="I238" s="416">
        <f t="shared" ref="I238:I244" si="105">(G238+H238)*J$4</f>
        <v>529.37164800000005</v>
      </c>
      <c r="J238" s="417">
        <f t="shared" ref="J238:J244" si="106">G238+H238+I238</f>
        <v>3244.0980479999998</v>
      </c>
    </row>
    <row r="239" spans="1:10" s="325" customFormat="1">
      <c r="A239" s="410" t="s">
        <v>875</v>
      </c>
      <c r="B239" s="428" t="s">
        <v>2474</v>
      </c>
      <c r="C239" s="474" t="s">
        <v>1157</v>
      </c>
      <c r="D239" s="411" t="s">
        <v>422</v>
      </c>
      <c r="E239" s="429">
        <v>1</v>
      </c>
      <c r="F239" s="414">
        <f>562.4/1.195</f>
        <v>470.62761506276144</v>
      </c>
      <c r="G239" s="415">
        <f t="shared" si="103"/>
        <v>470.62761506276144</v>
      </c>
      <c r="H239" s="416">
        <f t="shared" si="104"/>
        <v>0</v>
      </c>
      <c r="I239" s="416">
        <f t="shared" si="105"/>
        <v>91.772384937238485</v>
      </c>
      <c r="J239" s="417">
        <f t="shared" si="106"/>
        <v>562.39999999999986</v>
      </c>
    </row>
    <row r="240" spans="1:10" s="325" customFormat="1">
      <c r="A240" s="410" t="s">
        <v>1160</v>
      </c>
      <c r="B240" s="428" t="s">
        <v>2474</v>
      </c>
      <c r="C240" s="412" t="s">
        <v>1159</v>
      </c>
      <c r="D240" s="411" t="s">
        <v>422</v>
      </c>
      <c r="E240" s="429">
        <v>26</v>
      </c>
      <c r="F240" s="414">
        <f>79.32/1.195</f>
        <v>66.376569037656893</v>
      </c>
      <c r="G240" s="415">
        <f t="shared" si="103"/>
        <v>1725.7907949790792</v>
      </c>
      <c r="H240" s="416">
        <f t="shared" si="104"/>
        <v>0</v>
      </c>
      <c r="I240" s="416">
        <f t="shared" si="105"/>
        <v>336.52920502092047</v>
      </c>
      <c r="J240" s="417">
        <f t="shared" si="106"/>
        <v>2062.3199999999997</v>
      </c>
    </row>
    <row r="241" spans="1:10" s="325" customFormat="1" ht="28.8">
      <c r="A241" s="410">
        <v>1623</v>
      </c>
      <c r="B241" s="428" t="s">
        <v>2471</v>
      </c>
      <c r="C241" s="474" t="s">
        <v>1161</v>
      </c>
      <c r="D241" s="411" t="s">
        <v>422</v>
      </c>
      <c r="E241" s="429">
        <v>9</v>
      </c>
      <c r="F241" s="414">
        <v>161.22</v>
      </c>
      <c r="G241" s="415">
        <f t="shared" si="103"/>
        <v>1450.98</v>
      </c>
      <c r="H241" s="416">
        <f t="shared" si="104"/>
        <v>0</v>
      </c>
      <c r="I241" s="416">
        <f t="shared" si="105"/>
        <v>282.94110000000001</v>
      </c>
      <c r="J241" s="417">
        <f t="shared" si="106"/>
        <v>1733.9211</v>
      </c>
    </row>
    <row r="242" spans="1:10" s="325" customFormat="1" ht="28.8">
      <c r="A242" s="410" t="s">
        <v>1163</v>
      </c>
      <c r="B242" s="428" t="s">
        <v>2473</v>
      </c>
      <c r="C242" s="412" t="s">
        <v>1162</v>
      </c>
      <c r="D242" s="411" t="s">
        <v>422</v>
      </c>
      <c r="E242" s="429">
        <v>2</v>
      </c>
      <c r="F242" s="414">
        <v>122.89</v>
      </c>
      <c r="G242" s="415">
        <f t="shared" si="103"/>
        <v>245.78</v>
      </c>
      <c r="H242" s="416">
        <f t="shared" si="104"/>
        <v>0</v>
      </c>
      <c r="I242" s="416">
        <f t="shared" si="105"/>
        <v>47.927100000000003</v>
      </c>
      <c r="J242" s="417">
        <f t="shared" si="106"/>
        <v>293.70710000000003</v>
      </c>
    </row>
    <row r="243" spans="1:10" s="325" customFormat="1" ht="15" customHeight="1">
      <c r="A243" s="410" t="s">
        <v>1165</v>
      </c>
      <c r="B243" s="428" t="s">
        <v>2473</v>
      </c>
      <c r="C243" s="412" t="s">
        <v>1164</v>
      </c>
      <c r="D243" s="411" t="s">
        <v>422</v>
      </c>
      <c r="E243" s="429">
        <v>1</v>
      </c>
      <c r="F243" s="414">
        <v>187.24</v>
      </c>
      <c r="G243" s="415">
        <f t="shared" si="103"/>
        <v>187.24</v>
      </c>
      <c r="H243" s="416">
        <f t="shared" si="104"/>
        <v>0</v>
      </c>
      <c r="I243" s="416">
        <f t="shared" si="105"/>
        <v>36.511800000000001</v>
      </c>
      <c r="J243" s="417">
        <f t="shared" si="106"/>
        <v>223.7518</v>
      </c>
    </row>
    <row r="244" spans="1:10" s="325" customFormat="1" ht="28.8">
      <c r="A244" s="410" t="s">
        <v>1168</v>
      </c>
      <c r="B244" s="428" t="s">
        <v>2473</v>
      </c>
      <c r="C244" s="474" t="s">
        <v>1167</v>
      </c>
      <c r="D244" s="428" t="s">
        <v>1158</v>
      </c>
      <c r="E244" s="429">
        <v>1</v>
      </c>
      <c r="F244" s="414">
        <v>931.84</v>
      </c>
      <c r="G244" s="415">
        <f t="shared" si="103"/>
        <v>931.84</v>
      </c>
      <c r="H244" s="416">
        <f t="shared" si="104"/>
        <v>0</v>
      </c>
      <c r="I244" s="416">
        <f t="shared" si="105"/>
        <v>181.70880000000002</v>
      </c>
      <c r="J244" s="417">
        <f t="shared" si="106"/>
        <v>1113.5488</v>
      </c>
    </row>
    <row r="245" spans="1:10" ht="87.75" customHeight="1">
      <c r="A245" s="419" t="str">
        <f>ORÇAMENTO!C756</f>
        <v>COMPOSIÇÃO</v>
      </c>
      <c r="B245" s="420" t="str">
        <f>$B$220</f>
        <v>CDHU - BOLETIM 191 + FDE - 07/2023 + SINAPI SP - 08/2023</v>
      </c>
      <c r="C245" s="421" t="str">
        <f>ORÇAMENTO!E756</f>
        <v>PARA PAINEL ELÉTRICO 016 - ENFERMEIRA MARIA</v>
      </c>
      <c r="D245" s="420" t="str">
        <f>ORÇAMENTO!F756</f>
        <v>Uni.</v>
      </c>
      <c r="E245" s="422" t="s">
        <v>712</v>
      </c>
      <c r="F245" s="423" t="s">
        <v>712</v>
      </c>
      <c r="G245" s="424" t="s">
        <v>712</v>
      </c>
      <c r="H245" s="424" t="s">
        <v>712</v>
      </c>
      <c r="I245" s="424" t="s">
        <v>712</v>
      </c>
      <c r="J245" s="425">
        <f>SUM(J246:J252)</f>
        <v>10714.985655999999</v>
      </c>
    </row>
    <row r="246" spans="1:10" s="325" customFormat="1" ht="28.8">
      <c r="A246" s="410" t="s">
        <v>706</v>
      </c>
      <c r="B246" s="428" t="s">
        <v>2473</v>
      </c>
      <c r="C246" s="474" t="s">
        <v>1166</v>
      </c>
      <c r="D246" s="428" t="s">
        <v>541</v>
      </c>
      <c r="E246" s="429">
        <f>0.8*1.4</f>
        <v>1.1199999999999999</v>
      </c>
      <c r="F246" s="414">
        <v>2827.84</v>
      </c>
      <c r="G246" s="415">
        <f t="shared" ref="G246:G252" si="107">E246*F246</f>
        <v>3167.1807999999996</v>
      </c>
      <c r="H246" s="416">
        <f t="shared" ref="H246:H252" si="108">G246*$J$3</f>
        <v>0</v>
      </c>
      <c r="I246" s="416">
        <f t="shared" ref="I246:I252" si="109">(G246+H246)*J$4</f>
        <v>617.60025599999994</v>
      </c>
      <c r="J246" s="417">
        <f t="shared" ref="J246:J252" si="110">G246+H246+I246</f>
        <v>3784.7810559999998</v>
      </c>
    </row>
    <row r="247" spans="1:10" s="325" customFormat="1">
      <c r="A247" s="410" t="s">
        <v>875</v>
      </c>
      <c r="B247" s="428" t="s">
        <v>2474</v>
      </c>
      <c r="C247" s="474" t="s">
        <v>1157</v>
      </c>
      <c r="D247" s="411" t="s">
        <v>422</v>
      </c>
      <c r="E247" s="429">
        <v>1</v>
      </c>
      <c r="F247" s="414">
        <f>F239</f>
        <v>470.62761506276144</v>
      </c>
      <c r="G247" s="415">
        <f t="shared" si="107"/>
        <v>470.62761506276144</v>
      </c>
      <c r="H247" s="416">
        <f t="shared" si="108"/>
        <v>0</v>
      </c>
      <c r="I247" s="416">
        <f t="shared" si="109"/>
        <v>91.772384937238485</v>
      </c>
      <c r="J247" s="417">
        <f t="shared" si="110"/>
        <v>562.39999999999986</v>
      </c>
    </row>
    <row r="248" spans="1:10" s="325" customFormat="1">
      <c r="A248" s="410" t="s">
        <v>1160</v>
      </c>
      <c r="B248" s="428" t="s">
        <v>2474</v>
      </c>
      <c r="C248" s="412" t="s">
        <v>1159</v>
      </c>
      <c r="D248" s="411" t="s">
        <v>422</v>
      </c>
      <c r="E248" s="429">
        <v>33</v>
      </c>
      <c r="F248" s="414">
        <f>F240</f>
        <v>66.376569037656893</v>
      </c>
      <c r="G248" s="415">
        <f t="shared" si="107"/>
        <v>2190.4267782426773</v>
      </c>
      <c r="H248" s="416">
        <f t="shared" si="108"/>
        <v>0</v>
      </c>
      <c r="I248" s="416">
        <f t="shared" si="109"/>
        <v>427.13322175732208</v>
      </c>
      <c r="J248" s="417">
        <f t="shared" si="110"/>
        <v>2617.5599999999995</v>
      </c>
    </row>
    <row r="249" spans="1:10" s="325" customFormat="1" ht="28.8">
      <c r="A249" s="410">
        <v>1623</v>
      </c>
      <c r="B249" s="428" t="s">
        <v>2471</v>
      </c>
      <c r="C249" s="474" t="s">
        <v>1161</v>
      </c>
      <c r="D249" s="411" t="s">
        <v>422</v>
      </c>
      <c r="E249" s="429">
        <v>11</v>
      </c>
      <c r="F249" s="414">
        <v>161.22</v>
      </c>
      <c r="G249" s="415">
        <f t="shared" si="107"/>
        <v>1773.42</v>
      </c>
      <c r="H249" s="416">
        <f t="shared" si="108"/>
        <v>0</v>
      </c>
      <c r="I249" s="416">
        <f t="shared" si="109"/>
        <v>345.81690000000003</v>
      </c>
      <c r="J249" s="417">
        <f t="shared" si="110"/>
        <v>2119.2368999999999</v>
      </c>
    </row>
    <row r="250" spans="1:10" s="325" customFormat="1" ht="28.8">
      <c r="A250" s="410" t="s">
        <v>1163</v>
      </c>
      <c r="B250" s="428" t="s">
        <v>2473</v>
      </c>
      <c r="C250" s="412" t="s">
        <v>1162</v>
      </c>
      <c r="D250" s="411" t="s">
        <v>422</v>
      </c>
      <c r="E250" s="429">
        <v>2</v>
      </c>
      <c r="F250" s="414">
        <v>122.89</v>
      </c>
      <c r="G250" s="415">
        <f t="shared" si="107"/>
        <v>245.78</v>
      </c>
      <c r="H250" s="416">
        <f t="shared" si="108"/>
        <v>0</v>
      </c>
      <c r="I250" s="416">
        <f t="shared" si="109"/>
        <v>47.927100000000003</v>
      </c>
      <c r="J250" s="417">
        <f t="shared" si="110"/>
        <v>293.70710000000003</v>
      </c>
    </row>
    <row r="251" spans="1:10" s="325" customFormat="1" ht="15" customHeight="1">
      <c r="A251" s="410" t="s">
        <v>1165</v>
      </c>
      <c r="B251" s="428" t="s">
        <v>2473</v>
      </c>
      <c r="C251" s="412" t="s">
        <v>1164</v>
      </c>
      <c r="D251" s="411" t="s">
        <v>422</v>
      </c>
      <c r="E251" s="429">
        <v>1</v>
      </c>
      <c r="F251" s="414">
        <v>187.24</v>
      </c>
      <c r="G251" s="415">
        <f t="shared" si="107"/>
        <v>187.24</v>
      </c>
      <c r="H251" s="416">
        <f t="shared" si="108"/>
        <v>0</v>
      </c>
      <c r="I251" s="416">
        <f t="shared" si="109"/>
        <v>36.511800000000001</v>
      </c>
      <c r="J251" s="417">
        <f t="shared" si="110"/>
        <v>223.7518</v>
      </c>
    </row>
    <row r="252" spans="1:10" s="325" customFormat="1" ht="28.8">
      <c r="A252" s="410" t="s">
        <v>1168</v>
      </c>
      <c r="B252" s="428" t="s">
        <v>2473</v>
      </c>
      <c r="C252" s="474" t="s">
        <v>1167</v>
      </c>
      <c r="D252" s="428" t="s">
        <v>1158</v>
      </c>
      <c r="E252" s="429">
        <v>1</v>
      </c>
      <c r="F252" s="414">
        <v>931.84</v>
      </c>
      <c r="G252" s="415">
        <f t="shared" si="107"/>
        <v>931.84</v>
      </c>
      <c r="H252" s="416">
        <f t="shared" si="108"/>
        <v>0</v>
      </c>
      <c r="I252" s="416">
        <f t="shared" si="109"/>
        <v>181.70880000000002</v>
      </c>
      <c r="J252" s="417">
        <f t="shared" si="110"/>
        <v>1113.5488</v>
      </c>
    </row>
    <row r="253" spans="1:10" ht="79.5" customHeight="1">
      <c r="A253" s="419" t="str">
        <f>ORÇAMENTO!C826</f>
        <v>COMPOSIÇÃO</v>
      </c>
      <c r="B253" s="420" t="str">
        <f>$B$245</f>
        <v>CDHU - BOLETIM 191 + FDE - 07/2023 + SINAPI SP - 08/2023</v>
      </c>
      <c r="C253" s="421" t="str">
        <f>ORÇAMENTO!E826</f>
        <v>PARA PAINEL ELÉTRICO 017 - ODETTE LEITE</v>
      </c>
      <c r="D253" s="420" t="str">
        <f>ORÇAMENTO!F826</f>
        <v>Uni.</v>
      </c>
      <c r="E253" s="422" t="s">
        <v>712</v>
      </c>
      <c r="F253" s="423" t="s">
        <v>712</v>
      </c>
      <c r="G253" s="424" t="s">
        <v>712</v>
      </c>
      <c r="H253" s="424" t="s">
        <v>712</v>
      </c>
      <c r="I253" s="424" t="s">
        <v>712</v>
      </c>
      <c r="J253" s="425">
        <f>SUM(J254:J260)</f>
        <v>11297.336455999999</v>
      </c>
    </row>
    <row r="254" spans="1:10" s="325" customFormat="1" ht="28.8">
      <c r="A254" s="410" t="s">
        <v>706</v>
      </c>
      <c r="B254" s="428" t="s">
        <v>2473</v>
      </c>
      <c r="C254" s="474" t="s">
        <v>1166</v>
      </c>
      <c r="D254" s="428" t="s">
        <v>541</v>
      </c>
      <c r="E254" s="429">
        <f>0.8*1.4</f>
        <v>1.1199999999999999</v>
      </c>
      <c r="F254" s="414">
        <v>2827.84</v>
      </c>
      <c r="G254" s="415">
        <f t="shared" ref="G254:G260" si="111">E254*F254</f>
        <v>3167.1807999999996</v>
      </c>
      <c r="H254" s="416">
        <f t="shared" ref="H254:H260" si="112">G254*$J$3</f>
        <v>0</v>
      </c>
      <c r="I254" s="416">
        <f t="shared" ref="I254:I260" si="113">(G254+H254)*J$4</f>
        <v>617.60025599999994</v>
      </c>
      <c r="J254" s="417">
        <f t="shared" ref="J254:J260" si="114">G254+H254+I254</f>
        <v>3784.7810559999998</v>
      </c>
    </row>
    <row r="255" spans="1:10" s="325" customFormat="1">
      <c r="A255" s="410" t="s">
        <v>875</v>
      </c>
      <c r="B255" s="428" t="s">
        <v>2474</v>
      </c>
      <c r="C255" s="474" t="s">
        <v>1157</v>
      </c>
      <c r="D255" s="411" t="s">
        <v>422</v>
      </c>
      <c r="E255" s="429">
        <v>1</v>
      </c>
      <c r="F255" s="414">
        <f>F247</f>
        <v>470.62761506276144</v>
      </c>
      <c r="G255" s="415">
        <f t="shared" si="111"/>
        <v>470.62761506276144</v>
      </c>
      <c r="H255" s="416">
        <f t="shared" si="112"/>
        <v>0</v>
      </c>
      <c r="I255" s="416">
        <f t="shared" si="113"/>
        <v>91.772384937238485</v>
      </c>
      <c r="J255" s="417">
        <f t="shared" si="114"/>
        <v>562.39999999999986</v>
      </c>
    </row>
    <row r="256" spans="1:10" s="325" customFormat="1">
      <c r="A256" s="410" t="s">
        <v>1160</v>
      </c>
      <c r="B256" s="428" t="s">
        <v>2474</v>
      </c>
      <c r="C256" s="412" t="s">
        <v>1159</v>
      </c>
      <c r="D256" s="411" t="s">
        <v>422</v>
      </c>
      <c r="E256" s="429">
        <v>38</v>
      </c>
      <c r="F256" s="414">
        <f>F248</f>
        <v>66.376569037656893</v>
      </c>
      <c r="G256" s="415">
        <f t="shared" si="111"/>
        <v>2522.3096234309619</v>
      </c>
      <c r="H256" s="416">
        <f t="shared" si="112"/>
        <v>0</v>
      </c>
      <c r="I256" s="416">
        <f t="shared" si="113"/>
        <v>491.85037656903756</v>
      </c>
      <c r="J256" s="417">
        <f t="shared" si="114"/>
        <v>3014.1599999999994</v>
      </c>
    </row>
    <row r="257" spans="1:10" s="325" customFormat="1" ht="28.8">
      <c r="A257" s="410">
        <v>1623</v>
      </c>
      <c r="B257" s="428" t="s">
        <v>2471</v>
      </c>
      <c r="C257" s="474" t="s">
        <v>1161</v>
      </c>
      <c r="D257" s="411" t="s">
        <v>422</v>
      </c>
      <c r="E257" s="429">
        <v>12</v>
      </c>
      <c r="F257" s="414">
        <v>161.22</v>
      </c>
      <c r="G257" s="415">
        <f t="shared" si="111"/>
        <v>1934.6399999999999</v>
      </c>
      <c r="H257" s="416">
        <f t="shared" si="112"/>
        <v>0</v>
      </c>
      <c r="I257" s="416">
        <f t="shared" si="113"/>
        <v>377.25479999999999</v>
      </c>
      <c r="J257" s="417">
        <f t="shared" si="114"/>
        <v>2311.8948</v>
      </c>
    </row>
    <row r="258" spans="1:10" s="325" customFormat="1" ht="28.8">
      <c r="A258" s="410" t="s">
        <v>1163</v>
      </c>
      <c r="B258" s="428" t="s">
        <v>2473</v>
      </c>
      <c r="C258" s="412" t="s">
        <v>1162</v>
      </c>
      <c r="D258" s="411" t="s">
        <v>422</v>
      </c>
      <c r="E258" s="429">
        <v>2</v>
      </c>
      <c r="F258" s="414">
        <v>120</v>
      </c>
      <c r="G258" s="415">
        <f t="shared" si="111"/>
        <v>240</v>
      </c>
      <c r="H258" s="416">
        <f t="shared" si="112"/>
        <v>0</v>
      </c>
      <c r="I258" s="416">
        <f t="shared" si="113"/>
        <v>46.800000000000004</v>
      </c>
      <c r="J258" s="417">
        <f t="shared" si="114"/>
        <v>286.8</v>
      </c>
    </row>
    <row r="259" spans="1:10" s="325" customFormat="1" ht="15" customHeight="1">
      <c r="A259" s="410" t="s">
        <v>1165</v>
      </c>
      <c r="B259" s="428" t="s">
        <v>2473</v>
      </c>
      <c r="C259" s="412" t="s">
        <v>1164</v>
      </c>
      <c r="D259" s="411" t="s">
        <v>422</v>
      </c>
      <c r="E259" s="429">
        <v>1</v>
      </c>
      <c r="F259" s="414">
        <v>187.24</v>
      </c>
      <c r="G259" s="415">
        <f t="shared" si="111"/>
        <v>187.24</v>
      </c>
      <c r="H259" s="416">
        <f t="shared" si="112"/>
        <v>0</v>
      </c>
      <c r="I259" s="416">
        <f t="shared" si="113"/>
        <v>36.511800000000001</v>
      </c>
      <c r="J259" s="417">
        <f t="shared" si="114"/>
        <v>223.7518</v>
      </c>
    </row>
    <row r="260" spans="1:10" s="325" customFormat="1" ht="28.8">
      <c r="A260" s="410" t="s">
        <v>1168</v>
      </c>
      <c r="B260" s="428" t="s">
        <v>2473</v>
      </c>
      <c r="C260" s="474" t="s">
        <v>1167</v>
      </c>
      <c r="D260" s="428" t="s">
        <v>1158</v>
      </c>
      <c r="E260" s="429">
        <v>1</v>
      </c>
      <c r="F260" s="414">
        <v>931.84</v>
      </c>
      <c r="G260" s="415">
        <f t="shared" si="111"/>
        <v>931.84</v>
      </c>
      <c r="H260" s="416">
        <f t="shared" si="112"/>
        <v>0</v>
      </c>
      <c r="I260" s="416">
        <f t="shared" si="113"/>
        <v>181.70880000000002</v>
      </c>
      <c r="J260" s="417">
        <f t="shared" si="114"/>
        <v>1113.5488</v>
      </c>
    </row>
    <row r="261" spans="1:10" ht="84.75" customHeight="1">
      <c r="A261" s="419" t="str">
        <f>ORÇAMENTO!C893</f>
        <v>COMPOSIÇÃO</v>
      </c>
      <c r="B261" s="420" t="str">
        <f>$B$253</f>
        <v>CDHU - BOLETIM 191 + FDE - 07/2023 + SINAPI SP - 08/2023</v>
      </c>
      <c r="C261" s="421" t="str">
        <f>ORÇAMENTO!E893</f>
        <v>PARA PAINEL ELÉTRICO 018 - PROFESSORA VITORIA OLIVITO</v>
      </c>
      <c r="D261" s="420" t="str">
        <f>ORÇAMENTO!F893</f>
        <v>Uni.</v>
      </c>
      <c r="E261" s="422" t="s">
        <v>712</v>
      </c>
      <c r="F261" s="423" t="s">
        <v>712</v>
      </c>
      <c r="G261" s="424" t="s">
        <v>712</v>
      </c>
      <c r="H261" s="424" t="s">
        <v>712</v>
      </c>
      <c r="I261" s="424" t="s">
        <v>712</v>
      </c>
      <c r="J261" s="425">
        <f>SUM(J262:J268)</f>
        <v>17214.805779999999</v>
      </c>
    </row>
    <row r="262" spans="1:10" s="325" customFormat="1" ht="28.8">
      <c r="A262" s="410" t="s">
        <v>706</v>
      </c>
      <c r="B262" s="428" t="s">
        <v>2473</v>
      </c>
      <c r="C262" s="474" t="s">
        <v>1166</v>
      </c>
      <c r="D262" s="428" t="s">
        <v>541</v>
      </c>
      <c r="E262" s="429">
        <f>0.8*2</f>
        <v>1.6</v>
      </c>
      <c r="F262" s="414">
        <v>2827.84</v>
      </c>
      <c r="G262" s="415">
        <f t="shared" ref="G262:G268" si="115">E262*F262</f>
        <v>4524.5440000000008</v>
      </c>
      <c r="H262" s="416">
        <f t="shared" ref="H262:H268" si="116">G262*$J$3</f>
        <v>0</v>
      </c>
      <c r="I262" s="416">
        <f t="shared" ref="I262:I268" si="117">(G262+H262)*J$4</f>
        <v>882.2860800000002</v>
      </c>
      <c r="J262" s="417">
        <f t="shared" ref="J262:J268" si="118">G262+H262+I262</f>
        <v>5406.8300800000006</v>
      </c>
    </row>
    <row r="263" spans="1:10" s="325" customFormat="1">
      <c r="A263" s="484" t="s">
        <v>1246</v>
      </c>
      <c r="B263" s="428" t="s">
        <v>2474</v>
      </c>
      <c r="C263" s="474" t="s">
        <v>874</v>
      </c>
      <c r="D263" s="411" t="s">
        <v>422</v>
      </c>
      <c r="E263" s="429">
        <v>1</v>
      </c>
      <c r="F263" s="414">
        <f>1723.25/1.195</f>
        <v>1442.0502092050208</v>
      </c>
      <c r="G263" s="415">
        <f t="shared" si="115"/>
        <v>1442.0502092050208</v>
      </c>
      <c r="H263" s="416">
        <f t="shared" si="116"/>
        <v>0</v>
      </c>
      <c r="I263" s="416">
        <f t="shared" si="117"/>
        <v>281.19979079497904</v>
      </c>
      <c r="J263" s="417">
        <f t="shared" si="118"/>
        <v>1723.2499999999998</v>
      </c>
    </row>
    <row r="264" spans="1:10" s="325" customFormat="1">
      <c r="A264" s="410" t="s">
        <v>1160</v>
      </c>
      <c r="B264" s="428" t="s">
        <v>2474</v>
      </c>
      <c r="C264" s="412" t="s">
        <v>1159</v>
      </c>
      <c r="D264" s="411" t="s">
        <v>422</v>
      </c>
      <c r="E264" s="429">
        <v>58</v>
      </c>
      <c r="F264" s="414">
        <f>F256</f>
        <v>66.376569037656893</v>
      </c>
      <c r="G264" s="415">
        <f t="shared" si="115"/>
        <v>3849.8410041840998</v>
      </c>
      <c r="H264" s="416">
        <f t="shared" si="116"/>
        <v>0</v>
      </c>
      <c r="I264" s="416">
        <f t="shared" si="117"/>
        <v>750.71899581589946</v>
      </c>
      <c r="J264" s="417">
        <f t="shared" si="118"/>
        <v>4600.5599999999995</v>
      </c>
    </row>
    <row r="265" spans="1:10" s="325" customFormat="1" ht="28.8">
      <c r="A265" s="410">
        <v>1623</v>
      </c>
      <c r="B265" s="428" t="s">
        <v>2471</v>
      </c>
      <c r="C265" s="474" t="s">
        <v>1161</v>
      </c>
      <c r="D265" s="411" t="s">
        <v>422</v>
      </c>
      <c r="E265" s="429">
        <v>20</v>
      </c>
      <c r="F265" s="414">
        <v>161.22</v>
      </c>
      <c r="G265" s="415">
        <f t="shared" si="115"/>
        <v>3224.4</v>
      </c>
      <c r="H265" s="416">
        <f t="shared" si="116"/>
        <v>0</v>
      </c>
      <c r="I265" s="416">
        <f t="shared" si="117"/>
        <v>628.75800000000004</v>
      </c>
      <c r="J265" s="417">
        <f t="shared" si="118"/>
        <v>3853.1580000000004</v>
      </c>
    </row>
    <row r="266" spans="1:10" s="325" customFormat="1" ht="28.8">
      <c r="A266" s="410" t="s">
        <v>1163</v>
      </c>
      <c r="B266" s="428" t="s">
        <v>2473</v>
      </c>
      <c r="C266" s="412" t="s">
        <v>1162</v>
      </c>
      <c r="D266" s="411" t="s">
        <v>422</v>
      </c>
      <c r="E266" s="429">
        <v>2</v>
      </c>
      <c r="F266" s="414">
        <v>122.89</v>
      </c>
      <c r="G266" s="415">
        <f t="shared" si="115"/>
        <v>245.78</v>
      </c>
      <c r="H266" s="416">
        <f t="shared" si="116"/>
        <v>0</v>
      </c>
      <c r="I266" s="416">
        <f t="shared" si="117"/>
        <v>47.927100000000003</v>
      </c>
      <c r="J266" s="417">
        <f t="shared" si="118"/>
        <v>293.70710000000003</v>
      </c>
    </row>
    <row r="267" spans="1:10" s="325" customFormat="1" ht="15" customHeight="1">
      <c r="A267" s="410" t="s">
        <v>1165</v>
      </c>
      <c r="B267" s="428" t="s">
        <v>2473</v>
      </c>
      <c r="C267" s="412" t="s">
        <v>1164</v>
      </c>
      <c r="D267" s="411" t="s">
        <v>422</v>
      </c>
      <c r="E267" s="429">
        <v>1</v>
      </c>
      <c r="F267" s="414">
        <v>187.24</v>
      </c>
      <c r="G267" s="415">
        <f t="shared" si="115"/>
        <v>187.24</v>
      </c>
      <c r="H267" s="416">
        <f t="shared" si="116"/>
        <v>0</v>
      </c>
      <c r="I267" s="416">
        <f t="shared" si="117"/>
        <v>36.511800000000001</v>
      </c>
      <c r="J267" s="417">
        <f t="shared" si="118"/>
        <v>223.7518</v>
      </c>
    </row>
    <row r="268" spans="1:10" s="325" customFormat="1" ht="28.8">
      <c r="A268" s="410" t="s">
        <v>1168</v>
      </c>
      <c r="B268" s="428" t="s">
        <v>2473</v>
      </c>
      <c r="C268" s="474" t="s">
        <v>1167</v>
      </c>
      <c r="D268" s="428" t="s">
        <v>1158</v>
      </c>
      <c r="E268" s="429">
        <v>1</v>
      </c>
      <c r="F268" s="414">
        <v>931.84</v>
      </c>
      <c r="G268" s="415">
        <f t="shared" si="115"/>
        <v>931.84</v>
      </c>
      <c r="H268" s="416">
        <f t="shared" si="116"/>
        <v>0</v>
      </c>
      <c r="I268" s="416">
        <f t="shared" si="117"/>
        <v>181.70880000000002</v>
      </c>
      <c r="J268" s="417">
        <f t="shared" si="118"/>
        <v>1113.5488</v>
      </c>
    </row>
    <row r="269" spans="1:10" ht="87" customHeight="1">
      <c r="A269" s="419" t="str">
        <f>ORÇAMENTO!C949</f>
        <v>COMPOSIÇÃO</v>
      </c>
      <c r="B269" s="420" t="str">
        <f>$B$261</f>
        <v>CDHU - BOLETIM 191 + FDE - 07/2023 + SINAPI SP - 08/2023</v>
      </c>
      <c r="C269" s="421" t="str">
        <f>ORÇAMENTO!E949</f>
        <v>PARA PAINEL ELÉTRICO 007 - PROFESSORA ALCINEIA</v>
      </c>
      <c r="D269" s="420" t="str">
        <f>ORÇAMENTO!F949</f>
        <v>Uni.</v>
      </c>
      <c r="E269" s="422" t="s">
        <v>712</v>
      </c>
      <c r="F269" s="423" t="s">
        <v>712</v>
      </c>
      <c r="G269" s="424" t="s">
        <v>712</v>
      </c>
      <c r="H269" s="424" t="s">
        <v>712</v>
      </c>
      <c r="I269" s="424" t="s">
        <v>712</v>
      </c>
      <c r="J269" s="425">
        <f>SUM(J270:J276)</f>
        <v>16886.835921999998</v>
      </c>
    </row>
    <row r="270" spans="1:10" s="325" customFormat="1" ht="28.8">
      <c r="A270" s="410" t="s">
        <v>706</v>
      </c>
      <c r="B270" s="428" t="s">
        <v>2473</v>
      </c>
      <c r="C270" s="474" t="s">
        <v>1166</v>
      </c>
      <c r="D270" s="428" t="s">
        <v>541</v>
      </c>
      <c r="E270" s="429">
        <f>0.8*1.8</f>
        <v>1.4400000000000002</v>
      </c>
      <c r="F270" s="414">
        <v>2827.84</v>
      </c>
      <c r="G270" s="415">
        <f t="shared" ref="G270:G276" si="119">E270*F270</f>
        <v>4072.0896000000007</v>
      </c>
      <c r="H270" s="416">
        <f t="shared" ref="H270:H276" si="120">G270*$J$3</f>
        <v>0</v>
      </c>
      <c r="I270" s="416">
        <f t="shared" ref="I270:I276" si="121">(G270+H270)*J$4</f>
        <v>794.05747200000019</v>
      </c>
      <c r="J270" s="417">
        <f t="shared" ref="J270:J276" si="122">G270+H270+I270</f>
        <v>4866.1470720000007</v>
      </c>
    </row>
    <row r="271" spans="1:10" s="325" customFormat="1" ht="28.8">
      <c r="A271" s="410">
        <v>101897</v>
      </c>
      <c r="B271" s="428" t="s">
        <v>2471</v>
      </c>
      <c r="C271" s="474" t="s">
        <v>1944</v>
      </c>
      <c r="D271" s="411" t="s">
        <v>422</v>
      </c>
      <c r="E271" s="429">
        <v>1</v>
      </c>
      <c r="F271" s="414">
        <v>965.73</v>
      </c>
      <c r="G271" s="415">
        <f t="shared" si="119"/>
        <v>965.73</v>
      </c>
      <c r="H271" s="416">
        <f t="shared" si="120"/>
        <v>0</v>
      </c>
      <c r="I271" s="416">
        <f t="shared" si="121"/>
        <v>188.31735</v>
      </c>
      <c r="J271" s="417">
        <f t="shared" si="122"/>
        <v>1154.0473500000001</v>
      </c>
    </row>
    <row r="272" spans="1:10" s="325" customFormat="1">
      <c r="A272" s="410" t="s">
        <v>1160</v>
      </c>
      <c r="B272" s="428" t="s">
        <v>2474</v>
      </c>
      <c r="C272" s="412" t="s">
        <v>1159</v>
      </c>
      <c r="D272" s="411" t="s">
        <v>422</v>
      </c>
      <c r="E272" s="429">
        <v>63</v>
      </c>
      <c r="F272" s="414">
        <f>F264</f>
        <v>66.376569037656893</v>
      </c>
      <c r="G272" s="415">
        <f t="shared" si="119"/>
        <v>4181.7238493723844</v>
      </c>
      <c r="H272" s="416">
        <f t="shared" si="120"/>
        <v>0</v>
      </c>
      <c r="I272" s="416">
        <f t="shared" si="121"/>
        <v>815.43615062761501</v>
      </c>
      <c r="J272" s="417">
        <f t="shared" si="122"/>
        <v>4997.16</v>
      </c>
    </row>
    <row r="273" spans="1:10" s="325" customFormat="1" ht="28.8">
      <c r="A273" s="410">
        <v>1623</v>
      </c>
      <c r="B273" s="428" t="s">
        <v>2471</v>
      </c>
      <c r="C273" s="474" t="s">
        <v>1161</v>
      </c>
      <c r="D273" s="411" t="s">
        <v>422</v>
      </c>
      <c r="E273" s="429">
        <v>22</v>
      </c>
      <c r="F273" s="414">
        <v>161.22</v>
      </c>
      <c r="G273" s="415">
        <f t="shared" si="119"/>
        <v>3546.84</v>
      </c>
      <c r="H273" s="416">
        <f t="shared" si="120"/>
        <v>0</v>
      </c>
      <c r="I273" s="416">
        <f t="shared" si="121"/>
        <v>691.63380000000006</v>
      </c>
      <c r="J273" s="417">
        <f t="shared" si="122"/>
        <v>4238.4737999999998</v>
      </c>
    </row>
    <row r="274" spans="1:10" s="325" customFormat="1" ht="28.8">
      <c r="A274" s="410" t="s">
        <v>1163</v>
      </c>
      <c r="B274" s="428" t="s">
        <v>2473</v>
      </c>
      <c r="C274" s="412" t="s">
        <v>1162</v>
      </c>
      <c r="D274" s="411" t="s">
        <v>422</v>
      </c>
      <c r="E274" s="429">
        <v>2</v>
      </c>
      <c r="F274" s="414">
        <v>122.89</v>
      </c>
      <c r="G274" s="415">
        <f t="shared" si="119"/>
        <v>245.78</v>
      </c>
      <c r="H274" s="416">
        <f t="shared" si="120"/>
        <v>0</v>
      </c>
      <c r="I274" s="416">
        <f t="shared" si="121"/>
        <v>47.927100000000003</v>
      </c>
      <c r="J274" s="417">
        <f t="shared" si="122"/>
        <v>293.70710000000003</v>
      </c>
    </row>
    <row r="275" spans="1:10" s="325" customFormat="1" ht="15" customHeight="1">
      <c r="A275" s="410" t="s">
        <v>1165</v>
      </c>
      <c r="B275" s="428" t="s">
        <v>2473</v>
      </c>
      <c r="C275" s="412" t="s">
        <v>1164</v>
      </c>
      <c r="D275" s="411" t="s">
        <v>422</v>
      </c>
      <c r="E275" s="429">
        <v>1</v>
      </c>
      <c r="F275" s="414">
        <v>187.24</v>
      </c>
      <c r="G275" s="415">
        <f t="shared" si="119"/>
        <v>187.24</v>
      </c>
      <c r="H275" s="416">
        <f t="shared" si="120"/>
        <v>0</v>
      </c>
      <c r="I275" s="416">
        <f t="shared" si="121"/>
        <v>36.511800000000001</v>
      </c>
      <c r="J275" s="417">
        <f t="shared" si="122"/>
        <v>223.7518</v>
      </c>
    </row>
    <row r="276" spans="1:10" s="325" customFormat="1" ht="28.8">
      <c r="A276" s="410" t="s">
        <v>1168</v>
      </c>
      <c r="B276" s="428" t="s">
        <v>2473</v>
      </c>
      <c r="C276" s="474" t="s">
        <v>1167</v>
      </c>
      <c r="D276" s="428" t="s">
        <v>1158</v>
      </c>
      <c r="E276" s="429">
        <v>1</v>
      </c>
      <c r="F276" s="414">
        <v>931.84</v>
      </c>
      <c r="G276" s="415">
        <f t="shared" si="119"/>
        <v>931.84</v>
      </c>
      <c r="H276" s="416">
        <f t="shared" si="120"/>
        <v>0</v>
      </c>
      <c r="I276" s="416">
        <f t="shared" si="121"/>
        <v>181.70880000000002</v>
      </c>
      <c r="J276" s="417">
        <f t="shared" si="122"/>
        <v>1113.5488</v>
      </c>
    </row>
    <row r="277" spans="1:10" ht="85.5" customHeight="1">
      <c r="A277" s="419" t="str">
        <f>ORÇAMENTO!C1018</f>
        <v>COMPOSIÇÃO</v>
      </c>
      <c r="B277" s="420" t="str">
        <f>$B$269</f>
        <v>CDHU - BOLETIM 191 + FDE - 07/2023 + SINAPI SP - 08/2023</v>
      </c>
      <c r="C277" s="421" t="str">
        <f>ORÇAMENTO!E1018</f>
        <v>PARA PAINEL ELÉTRICO 015 - ARTHUR OLIVA</v>
      </c>
      <c r="D277" s="420" t="str">
        <f>ORÇAMENTO!F1018</f>
        <v>Uni.</v>
      </c>
      <c r="E277" s="422" t="s">
        <v>712</v>
      </c>
      <c r="F277" s="423" t="s">
        <v>712</v>
      </c>
      <c r="G277" s="424" t="s">
        <v>712</v>
      </c>
      <c r="H277" s="424" t="s">
        <v>712</v>
      </c>
      <c r="I277" s="424" t="s">
        <v>712</v>
      </c>
      <c r="J277" s="425">
        <f>SUM(J278:J284)</f>
        <v>14142.139072</v>
      </c>
    </row>
    <row r="278" spans="1:10" s="325" customFormat="1" ht="28.8">
      <c r="A278" s="410" t="s">
        <v>706</v>
      </c>
      <c r="B278" s="428" t="s">
        <v>2473</v>
      </c>
      <c r="C278" s="474" t="s">
        <v>1166</v>
      </c>
      <c r="D278" s="428" t="s">
        <v>541</v>
      </c>
      <c r="E278" s="429">
        <f>0.8*1.8</f>
        <v>1.4400000000000002</v>
      </c>
      <c r="F278" s="414">
        <v>2827.84</v>
      </c>
      <c r="G278" s="415">
        <f t="shared" ref="G278:G284" si="123">E278*F278</f>
        <v>4072.0896000000007</v>
      </c>
      <c r="H278" s="416">
        <f t="shared" ref="H278:H284" si="124">G278*$J$3</f>
        <v>0</v>
      </c>
      <c r="I278" s="416">
        <f t="shared" ref="I278:I284" si="125">(G278+H278)*J$4</f>
        <v>794.05747200000019</v>
      </c>
      <c r="J278" s="417">
        <f t="shared" ref="J278:J284" si="126">G278+H278+I278</f>
        <v>4866.1470720000007</v>
      </c>
    </row>
    <row r="279" spans="1:10" s="325" customFormat="1">
      <c r="A279" s="410" t="s">
        <v>875</v>
      </c>
      <c r="B279" s="428" t="s">
        <v>2474</v>
      </c>
      <c r="C279" s="474" t="s">
        <v>1157</v>
      </c>
      <c r="D279" s="411" t="s">
        <v>422</v>
      </c>
      <c r="E279" s="429">
        <v>1</v>
      </c>
      <c r="F279" s="414">
        <f>562.44/1.195</f>
        <v>470.6610878661088</v>
      </c>
      <c r="G279" s="415">
        <f t="shared" si="123"/>
        <v>470.6610878661088</v>
      </c>
      <c r="H279" s="416">
        <f t="shared" si="124"/>
        <v>0</v>
      </c>
      <c r="I279" s="416">
        <f t="shared" si="125"/>
        <v>91.778912133891225</v>
      </c>
      <c r="J279" s="417">
        <f t="shared" si="126"/>
        <v>562.44000000000005</v>
      </c>
    </row>
    <row r="280" spans="1:10" s="325" customFormat="1">
      <c r="A280" s="410" t="s">
        <v>1160</v>
      </c>
      <c r="B280" s="428" t="s">
        <v>2474</v>
      </c>
      <c r="C280" s="412" t="s">
        <v>1159</v>
      </c>
      <c r="D280" s="411" t="s">
        <v>422</v>
      </c>
      <c r="E280" s="429">
        <v>48</v>
      </c>
      <c r="F280" s="414">
        <f>F264</f>
        <v>66.376569037656893</v>
      </c>
      <c r="G280" s="415">
        <f t="shared" si="123"/>
        <v>3186.0753138075306</v>
      </c>
      <c r="H280" s="416">
        <f t="shared" si="124"/>
        <v>0</v>
      </c>
      <c r="I280" s="416">
        <f t="shared" si="125"/>
        <v>621.28468619246848</v>
      </c>
      <c r="J280" s="417">
        <f t="shared" si="126"/>
        <v>3807.3599999999992</v>
      </c>
    </row>
    <row r="281" spans="1:10" s="325" customFormat="1" ht="28.8">
      <c r="A281" s="410">
        <v>1623</v>
      </c>
      <c r="B281" s="428" t="s">
        <v>2471</v>
      </c>
      <c r="C281" s="474" t="s">
        <v>1161</v>
      </c>
      <c r="D281" s="411" t="s">
        <v>422</v>
      </c>
      <c r="E281" s="429">
        <v>17</v>
      </c>
      <c r="F281" s="414">
        <v>161.22</v>
      </c>
      <c r="G281" s="415">
        <f t="shared" si="123"/>
        <v>2740.74</v>
      </c>
      <c r="H281" s="416">
        <f t="shared" si="124"/>
        <v>0</v>
      </c>
      <c r="I281" s="416">
        <f t="shared" si="125"/>
        <v>534.4443</v>
      </c>
      <c r="J281" s="417">
        <f t="shared" si="126"/>
        <v>3275.1842999999999</v>
      </c>
    </row>
    <row r="282" spans="1:10" s="325" customFormat="1" ht="28.8">
      <c r="A282" s="410" t="s">
        <v>1163</v>
      </c>
      <c r="B282" s="428" t="s">
        <v>2473</v>
      </c>
      <c r="C282" s="412" t="s">
        <v>1162</v>
      </c>
      <c r="D282" s="411" t="s">
        <v>422</v>
      </c>
      <c r="E282" s="429">
        <v>2</v>
      </c>
      <c r="F282" s="414">
        <v>122.89</v>
      </c>
      <c r="G282" s="415">
        <f t="shared" si="123"/>
        <v>245.78</v>
      </c>
      <c r="H282" s="416">
        <f t="shared" si="124"/>
        <v>0</v>
      </c>
      <c r="I282" s="416">
        <f t="shared" si="125"/>
        <v>47.927100000000003</v>
      </c>
      <c r="J282" s="417">
        <f t="shared" si="126"/>
        <v>293.70710000000003</v>
      </c>
    </row>
    <row r="283" spans="1:10" s="325" customFormat="1" ht="28.8">
      <c r="A283" s="410" t="s">
        <v>1165</v>
      </c>
      <c r="B283" s="428" t="s">
        <v>2473</v>
      </c>
      <c r="C283" s="412" t="s">
        <v>1164</v>
      </c>
      <c r="D283" s="411" t="s">
        <v>422</v>
      </c>
      <c r="E283" s="429">
        <v>1</v>
      </c>
      <c r="F283" s="414">
        <v>187.24</v>
      </c>
      <c r="G283" s="415">
        <f t="shared" si="123"/>
        <v>187.24</v>
      </c>
      <c r="H283" s="416">
        <f t="shared" si="124"/>
        <v>0</v>
      </c>
      <c r="I283" s="416">
        <f t="shared" si="125"/>
        <v>36.511800000000001</v>
      </c>
      <c r="J283" s="417">
        <f t="shared" si="126"/>
        <v>223.7518</v>
      </c>
    </row>
    <row r="284" spans="1:10" s="325" customFormat="1" ht="28.8">
      <c r="A284" s="410" t="s">
        <v>1168</v>
      </c>
      <c r="B284" s="428" t="s">
        <v>2473</v>
      </c>
      <c r="C284" s="474" t="s">
        <v>1167</v>
      </c>
      <c r="D284" s="428" t="s">
        <v>1158</v>
      </c>
      <c r="E284" s="429">
        <v>1</v>
      </c>
      <c r="F284" s="414">
        <v>931.84</v>
      </c>
      <c r="G284" s="415">
        <f t="shared" si="123"/>
        <v>931.84</v>
      </c>
      <c r="H284" s="416">
        <f t="shared" si="124"/>
        <v>0</v>
      </c>
      <c r="I284" s="416">
        <f t="shared" si="125"/>
        <v>181.70880000000002</v>
      </c>
      <c r="J284" s="417">
        <f t="shared" si="126"/>
        <v>1113.5488</v>
      </c>
    </row>
    <row r="285" spans="1:10" ht="82.5" customHeight="1">
      <c r="A285" s="419" t="str">
        <f>ORÇAMENTO!C1085</f>
        <v>COMPOSIÇÃO</v>
      </c>
      <c r="B285" s="420" t="str">
        <f>$B$269</f>
        <v>CDHU - BOLETIM 191 + FDE - 07/2023 + SINAPI SP - 08/2023</v>
      </c>
      <c r="C285" s="421" t="str">
        <f>ORÇAMENTO!E1085</f>
        <v>PARA PAINEL ELÉTRICO 003 - IRMA MIRANDA DE MELO</v>
      </c>
      <c r="D285" s="420" t="str">
        <f>ORÇAMENTO!F1085</f>
        <v>Uni.</v>
      </c>
      <c r="E285" s="422" t="s">
        <v>712</v>
      </c>
      <c r="F285" s="423" t="s">
        <v>712</v>
      </c>
      <c r="G285" s="424" t="s">
        <v>712</v>
      </c>
      <c r="H285" s="424" t="s">
        <v>712</v>
      </c>
      <c r="I285" s="424" t="s">
        <v>712</v>
      </c>
      <c r="J285" s="425">
        <f>SUM(J286:J292)</f>
        <v>12520.090048</v>
      </c>
    </row>
    <row r="286" spans="1:10" s="325" customFormat="1" ht="28.8">
      <c r="A286" s="410" t="s">
        <v>706</v>
      </c>
      <c r="B286" s="428" t="s">
        <v>2473</v>
      </c>
      <c r="C286" s="474" t="s">
        <v>1166</v>
      </c>
      <c r="D286" s="428" t="s">
        <v>541</v>
      </c>
      <c r="E286" s="429">
        <f>0.8*1.2</f>
        <v>0.96</v>
      </c>
      <c r="F286" s="414">
        <v>2827.84</v>
      </c>
      <c r="G286" s="415">
        <f t="shared" ref="G286:G292" si="127">E286*F286</f>
        <v>2714.7264</v>
      </c>
      <c r="H286" s="416">
        <f t="shared" ref="H286:H292" si="128">G286*$J$3</f>
        <v>0</v>
      </c>
      <c r="I286" s="416">
        <f t="shared" ref="I286:I292" si="129">(G286+H286)*J$4</f>
        <v>529.37164800000005</v>
      </c>
      <c r="J286" s="417">
        <f t="shared" ref="J286:J292" si="130">G286+H286+I286</f>
        <v>3244.0980479999998</v>
      </c>
    </row>
    <row r="287" spans="1:10" s="325" customFormat="1">
      <c r="A287" s="410" t="s">
        <v>875</v>
      </c>
      <c r="B287" s="428" t="s">
        <v>2474</v>
      </c>
      <c r="C287" s="474" t="s">
        <v>1157</v>
      </c>
      <c r="D287" s="411" t="s">
        <v>422</v>
      </c>
      <c r="E287" s="429">
        <v>1</v>
      </c>
      <c r="F287" s="414">
        <f>F279</f>
        <v>470.6610878661088</v>
      </c>
      <c r="G287" s="415">
        <f t="shared" si="127"/>
        <v>470.6610878661088</v>
      </c>
      <c r="H287" s="416">
        <f t="shared" si="128"/>
        <v>0</v>
      </c>
      <c r="I287" s="416">
        <f t="shared" si="129"/>
        <v>91.778912133891225</v>
      </c>
      <c r="J287" s="417">
        <f t="shared" si="130"/>
        <v>562.44000000000005</v>
      </c>
    </row>
    <row r="288" spans="1:10" s="325" customFormat="1">
      <c r="A288" s="410" t="s">
        <v>1160</v>
      </c>
      <c r="B288" s="428" t="s">
        <v>2474</v>
      </c>
      <c r="C288" s="412" t="s">
        <v>1159</v>
      </c>
      <c r="D288" s="411" t="s">
        <v>422</v>
      </c>
      <c r="E288" s="429">
        <v>48</v>
      </c>
      <c r="F288" s="414">
        <f>F280</f>
        <v>66.376569037656893</v>
      </c>
      <c r="G288" s="415">
        <f t="shared" si="127"/>
        <v>3186.0753138075306</v>
      </c>
      <c r="H288" s="416">
        <f t="shared" si="128"/>
        <v>0</v>
      </c>
      <c r="I288" s="416">
        <f t="shared" si="129"/>
        <v>621.28468619246848</v>
      </c>
      <c r="J288" s="417">
        <f t="shared" si="130"/>
        <v>3807.3599999999992</v>
      </c>
    </row>
    <row r="289" spans="1:10" s="325" customFormat="1" ht="28.8">
      <c r="A289" s="410">
        <v>1623</v>
      </c>
      <c r="B289" s="428" t="s">
        <v>2471</v>
      </c>
      <c r="C289" s="474" t="s">
        <v>1161</v>
      </c>
      <c r="D289" s="411" t="s">
        <v>422</v>
      </c>
      <c r="E289" s="429">
        <v>17</v>
      </c>
      <c r="F289" s="414">
        <v>161.22</v>
      </c>
      <c r="G289" s="415">
        <f t="shared" si="127"/>
        <v>2740.74</v>
      </c>
      <c r="H289" s="416">
        <f t="shared" si="128"/>
        <v>0</v>
      </c>
      <c r="I289" s="416">
        <f t="shared" si="129"/>
        <v>534.4443</v>
      </c>
      <c r="J289" s="417">
        <f t="shared" si="130"/>
        <v>3275.1842999999999</v>
      </c>
    </row>
    <row r="290" spans="1:10" s="325" customFormat="1" ht="28.8">
      <c r="A290" s="410" t="s">
        <v>1163</v>
      </c>
      <c r="B290" s="428" t="s">
        <v>2473</v>
      </c>
      <c r="C290" s="412" t="s">
        <v>1162</v>
      </c>
      <c r="D290" s="411" t="s">
        <v>422</v>
      </c>
      <c r="E290" s="429">
        <v>2</v>
      </c>
      <c r="F290" s="414">
        <v>122.89</v>
      </c>
      <c r="G290" s="415">
        <f t="shared" si="127"/>
        <v>245.78</v>
      </c>
      <c r="H290" s="416">
        <f t="shared" si="128"/>
        <v>0</v>
      </c>
      <c r="I290" s="416">
        <f t="shared" si="129"/>
        <v>47.927100000000003</v>
      </c>
      <c r="J290" s="417">
        <f t="shared" si="130"/>
        <v>293.70710000000003</v>
      </c>
    </row>
    <row r="291" spans="1:10" s="325" customFormat="1" ht="15" customHeight="1">
      <c r="A291" s="410" t="s">
        <v>1165</v>
      </c>
      <c r="B291" s="428" t="s">
        <v>2473</v>
      </c>
      <c r="C291" s="412" t="s">
        <v>1164</v>
      </c>
      <c r="D291" s="411" t="s">
        <v>422</v>
      </c>
      <c r="E291" s="429">
        <v>1</v>
      </c>
      <c r="F291" s="414">
        <v>187.24</v>
      </c>
      <c r="G291" s="415">
        <f t="shared" si="127"/>
        <v>187.24</v>
      </c>
      <c r="H291" s="416">
        <f t="shared" si="128"/>
        <v>0</v>
      </c>
      <c r="I291" s="416">
        <f t="shared" si="129"/>
        <v>36.511800000000001</v>
      </c>
      <c r="J291" s="417">
        <f t="shared" si="130"/>
        <v>223.7518</v>
      </c>
    </row>
    <row r="292" spans="1:10" s="325" customFormat="1" ht="28.8">
      <c r="A292" s="410" t="s">
        <v>1168</v>
      </c>
      <c r="B292" s="428" t="s">
        <v>2473</v>
      </c>
      <c r="C292" s="474" t="s">
        <v>1167</v>
      </c>
      <c r="D292" s="428" t="s">
        <v>1158</v>
      </c>
      <c r="E292" s="429">
        <v>1</v>
      </c>
      <c r="F292" s="414">
        <v>931.84</v>
      </c>
      <c r="G292" s="415">
        <f t="shared" si="127"/>
        <v>931.84</v>
      </c>
      <c r="H292" s="416">
        <f t="shared" si="128"/>
        <v>0</v>
      </c>
      <c r="I292" s="416">
        <f t="shared" si="129"/>
        <v>181.70880000000002</v>
      </c>
      <c r="J292" s="417">
        <f t="shared" si="130"/>
        <v>1113.5488</v>
      </c>
    </row>
    <row r="293" spans="1:10" ht="80.25" customHeight="1">
      <c r="A293" s="419" t="str">
        <f>ORÇAMENTO!C1147</f>
        <v>COMPOSIÇÃO</v>
      </c>
      <c r="B293" s="420" t="str">
        <f>$B$277</f>
        <v>CDHU - BOLETIM 191 + FDE - 07/2023 + SINAPI SP - 08/2023</v>
      </c>
      <c r="C293" s="421" t="str">
        <f>ORÇAMENTO!E1147</f>
        <v>PARA PAINEL ELÉTRICO 011 - MARIA LUCIA BERTI</v>
      </c>
      <c r="D293" s="420" t="str">
        <f>ORÇAMENTO!F1147</f>
        <v>Uni.</v>
      </c>
      <c r="E293" s="422" t="s">
        <v>712</v>
      </c>
      <c r="F293" s="423" t="s">
        <v>712</v>
      </c>
      <c r="G293" s="424" t="s">
        <v>712</v>
      </c>
      <c r="H293" s="424" t="s">
        <v>712</v>
      </c>
      <c r="I293" s="424" t="s">
        <v>712</v>
      </c>
      <c r="J293" s="425">
        <f>SUM(J294:J300)</f>
        <v>8902.7368480000005</v>
      </c>
    </row>
    <row r="294" spans="1:10" s="325" customFormat="1" ht="28.8">
      <c r="A294" s="410" t="s">
        <v>706</v>
      </c>
      <c r="B294" s="428" t="s">
        <v>2473</v>
      </c>
      <c r="C294" s="474" t="s">
        <v>1166</v>
      </c>
      <c r="D294" s="428" t="s">
        <v>541</v>
      </c>
      <c r="E294" s="429">
        <f>0.8*1.2</f>
        <v>0.96</v>
      </c>
      <c r="F294" s="414">
        <v>2827.84</v>
      </c>
      <c r="G294" s="415">
        <f t="shared" ref="G294:G300" si="131">E294*F294</f>
        <v>2714.7264</v>
      </c>
      <c r="H294" s="416">
        <f t="shared" ref="H294:H300" si="132">G294*$J$3</f>
        <v>0</v>
      </c>
      <c r="I294" s="416">
        <f t="shared" ref="I294:I300" si="133">(G294+H294)*J$4</f>
        <v>529.37164800000005</v>
      </c>
      <c r="J294" s="417">
        <f t="shared" ref="J294:J300" si="134">G294+H294+I294</f>
        <v>3244.0980479999998</v>
      </c>
    </row>
    <row r="295" spans="1:10" s="325" customFormat="1">
      <c r="A295" s="410" t="s">
        <v>2046</v>
      </c>
      <c r="B295" s="428" t="s">
        <v>2474</v>
      </c>
      <c r="C295" s="474" t="s">
        <v>2045</v>
      </c>
      <c r="D295" s="411" t="s">
        <v>422</v>
      </c>
      <c r="E295" s="429">
        <v>1</v>
      </c>
      <c r="F295" s="414">
        <f>152.07/1.195</f>
        <v>127.255230125523</v>
      </c>
      <c r="G295" s="415">
        <f t="shared" si="131"/>
        <v>127.255230125523</v>
      </c>
      <c r="H295" s="416">
        <f t="shared" si="132"/>
        <v>0</v>
      </c>
      <c r="I295" s="416">
        <f t="shared" si="133"/>
        <v>24.814769874476987</v>
      </c>
      <c r="J295" s="417">
        <f t="shared" si="134"/>
        <v>152.07</v>
      </c>
    </row>
    <row r="296" spans="1:10" s="325" customFormat="1">
      <c r="A296" s="410" t="s">
        <v>1160</v>
      </c>
      <c r="B296" s="428" t="s">
        <v>2474</v>
      </c>
      <c r="C296" s="412" t="s">
        <v>1159</v>
      </c>
      <c r="D296" s="411" t="s">
        <v>422</v>
      </c>
      <c r="E296" s="429">
        <v>27</v>
      </c>
      <c r="F296" s="414">
        <f>F288</f>
        <v>66.376569037656893</v>
      </c>
      <c r="G296" s="415">
        <f t="shared" si="131"/>
        <v>1792.1673640167362</v>
      </c>
      <c r="H296" s="416">
        <f t="shared" si="132"/>
        <v>0</v>
      </c>
      <c r="I296" s="416">
        <f t="shared" si="133"/>
        <v>349.47263598326356</v>
      </c>
      <c r="J296" s="417">
        <f t="shared" si="134"/>
        <v>2141.64</v>
      </c>
    </row>
    <row r="297" spans="1:10" s="325" customFormat="1" ht="28.8">
      <c r="A297" s="410">
        <v>1623</v>
      </c>
      <c r="B297" s="428" t="s">
        <v>2471</v>
      </c>
      <c r="C297" s="474" t="s">
        <v>1161</v>
      </c>
      <c r="D297" s="411" t="s">
        <v>422</v>
      </c>
      <c r="E297" s="429">
        <v>9</v>
      </c>
      <c r="F297" s="414">
        <v>161.22</v>
      </c>
      <c r="G297" s="415">
        <f t="shared" si="131"/>
        <v>1450.98</v>
      </c>
      <c r="H297" s="416">
        <f t="shared" si="132"/>
        <v>0</v>
      </c>
      <c r="I297" s="416">
        <f t="shared" si="133"/>
        <v>282.94110000000001</v>
      </c>
      <c r="J297" s="417">
        <f t="shared" si="134"/>
        <v>1733.9211</v>
      </c>
    </row>
    <row r="298" spans="1:10" s="325" customFormat="1" ht="28.8">
      <c r="A298" s="410" t="s">
        <v>1163</v>
      </c>
      <c r="B298" s="428" t="s">
        <v>2473</v>
      </c>
      <c r="C298" s="412" t="s">
        <v>1162</v>
      </c>
      <c r="D298" s="411" t="s">
        <v>422</v>
      </c>
      <c r="E298" s="429">
        <v>2</v>
      </c>
      <c r="F298" s="414">
        <v>122.89</v>
      </c>
      <c r="G298" s="415">
        <f t="shared" si="131"/>
        <v>245.78</v>
      </c>
      <c r="H298" s="416">
        <f t="shared" si="132"/>
        <v>0</v>
      </c>
      <c r="I298" s="416">
        <f t="shared" si="133"/>
        <v>47.927100000000003</v>
      </c>
      <c r="J298" s="417">
        <f t="shared" si="134"/>
        <v>293.70710000000003</v>
      </c>
    </row>
    <row r="299" spans="1:10" s="325" customFormat="1" ht="15" customHeight="1">
      <c r="A299" s="410" t="s">
        <v>1165</v>
      </c>
      <c r="B299" s="428" t="s">
        <v>2473</v>
      </c>
      <c r="C299" s="412" t="s">
        <v>1164</v>
      </c>
      <c r="D299" s="411" t="s">
        <v>422</v>
      </c>
      <c r="E299" s="429">
        <v>1</v>
      </c>
      <c r="F299" s="414">
        <v>187.24</v>
      </c>
      <c r="G299" s="415">
        <f t="shared" si="131"/>
        <v>187.24</v>
      </c>
      <c r="H299" s="416">
        <f t="shared" si="132"/>
        <v>0</v>
      </c>
      <c r="I299" s="416">
        <f t="shared" si="133"/>
        <v>36.511800000000001</v>
      </c>
      <c r="J299" s="417">
        <f t="shared" si="134"/>
        <v>223.7518</v>
      </c>
    </row>
    <row r="300" spans="1:10" s="325" customFormat="1" ht="28.8">
      <c r="A300" s="410" t="s">
        <v>1168</v>
      </c>
      <c r="B300" s="428" t="s">
        <v>2473</v>
      </c>
      <c r="C300" s="474" t="s">
        <v>1167</v>
      </c>
      <c r="D300" s="428" t="s">
        <v>1158</v>
      </c>
      <c r="E300" s="429">
        <v>1</v>
      </c>
      <c r="F300" s="414">
        <v>931.84</v>
      </c>
      <c r="G300" s="415">
        <f t="shared" si="131"/>
        <v>931.84</v>
      </c>
      <c r="H300" s="416">
        <f t="shared" si="132"/>
        <v>0</v>
      </c>
      <c r="I300" s="416">
        <f t="shared" si="133"/>
        <v>181.70880000000002</v>
      </c>
      <c r="J300" s="417">
        <f t="shared" si="134"/>
        <v>1113.5488</v>
      </c>
    </row>
    <row r="301" spans="1:10" ht="99" customHeight="1">
      <c r="A301" s="419" t="str">
        <f>ORÇAMENTO!C1216</f>
        <v>COMPOSIÇÃO</v>
      </c>
      <c r="B301" s="420" t="str">
        <f>$B$277</f>
        <v>CDHU - BOLETIM 191 + FDE - 07/2023 + SINAPI SP - 08/2023</v>
      </c>
      <c r="C301" s="421" t="str">
        <f>ORÇAMENTO!E1216</f>
        <v>PARA PAINEL ELÉTRICO 004 - MAURICIO LEITE</v>
      </c>
      <c r="D301" s="420" t="str">
        <f>ORÇAMENTO!F1216</f>
        <v>Uni.</v>
      </c>
      <c r="E301" s="422" t="s">
        <v>712</v>
      </c>
      <c r="F301" s="423" t="s">
        <v>712</v>
      </c>
      <c r="G301" s="424" t="s">
        <v>712</v>
      </c>
      <c r="H301" s="424" t="s">
        <v>712</v>
      </c>
      <c r="I301" s="424" t="s">
        <v>712</v>
      </c>
      <c r="J301" s="425">
        <f>SUM(J302:J308)</f>
        <v>15540.909072</v>
      </c>
    </row>
    <row r="302" spans="1:10" s="325" customFormat="1" ht="28.8">
      <c r="A302" s="410" t="s">
        <v>706</v>
      </c>
      <c r="B302" s="428" t="s">
        <v>2473</v>
      </c>
      <c r="C302" s="474" t="s">
        <v>1166</v>
      </c>
      <c r="D302" s="428" t="s">
        <v>541</v>
      </c>
      <c r="E302" s="429">
        <f>0.8*1.8</f>
        <v>1.4400000000000002</v>
      </c>
      <c r="F302" s="414">
        <v>2827.84</v>
      </c>
      <c r="G302" s="415">
        <f t="shared" ref="G302:G308" si="135">E302*F302</f>
        <v>4072.0896000000007</v>
      </c>
      <c r="H302" s="416">
        <f t="shared" ref="H302:H308" si="136">G302*$J$3</f>
        <v>0</v>
      </c>
      <c r="I302" s="416">
        <f t="shared" ref="I302:I308" si="137">(G302+H302)*J$4</f>
        <v>794.05747200000019</v>
      </c>
      <c r="J302" s="417">
        <f t="shared" ref="J302:J308" si="138">G302+H302+I302</f>
        <v>4866.1470720000007</v>
      </c>
    </row>
    <row r="303" spans="1:10" s="325" customFormat="1">
      <c r="A303" s="484" t="s">
        <v>1246</v>
      </c>
      <c r="B303" s="428" t="s">
        <v>2474</v>
      </c>
      <c r="C303" s="474" t="s">
        <v>874</v>
      </c>
      <c r="D303" s="411" t="s">
        <v>422</v>
      </c>
      <c r="E303" s="429">
        <v>1</v>
      </c>
      <c r="F303" s="414">
        <f>1723.25/1.195</f>
        <v>1442.0502092050208</v>
      </c>
      <c r="G303" s="415">
        <f t="shared" si="135"/>
        <v>1442.0502092050208</v>
      </c>
      <c r="H303" s="416">
        <f t="shared" si="136"/>
        <v>0</v>
      </c>
      <c r="I303" s="416">
        <f t="shared" si="137"/>
        <v>281.19979079497904</v>
      </c>
      <c r="J303" s="417">
        <f t="shared" si="138"/>
        <v>1723.2499999999998</v>
      </c>
    </row>
    <row r="304" spans="1:10" s="325" customFormat="1">
      <c r="A304" s="410" t="s">
        <v>1160</v>
      </c>
      <c r="B304" s="428" t="s">
        <v>2474</v>
      </c>
      <c r="C304" s="412" t="s">
        <v>1159</v>
      </c>
      <c r="D304" s="411" t="s">
        <v>422</v>
      </c>
      <c r="E304" s="429">
        <v>51</v>
      </c>
      <c r="F304" s="414">
        <f>F296</f>
        <v>66.376569037656893</v>
      </c>
      <c r="G304" s="415">
        <f t="shared" si="135"/>
        <v>3385.2050209205017</v>
      </c>
      <c r="H304" s="416">
        <f t="shared" si="136"/>
        <v>0</v>
      </c>
      <c r="I304" s="416">
        <f t="shared" si="137"/>
        <v>660.11497907949786</v>
      </c>
      <c r="J304" s="417">
        <f t="shared" si="138"/>
        <v>4045.3199999999997</v>
      </c>
    </row>
    <row r="305" spans="1:10" s="325" customFormat="1" ht="28.8">
      <c r="A305" s="410">
        <v>1623</v>
      </c>
      <c r="B305" s="428" t="s">
        <v>2471</v>
      </c>
      <c r="C305" s="474" t="s">
        <v>1161</v>
      </c>
      <c r="D305" s="411" t="s">
        <v>422</v>
      </c>
      <c r="E305" s="429">
        <v>17</v>
      </c>
      <c r="F305" s="414">
        <v>161.22</v>
      </c>
      <c r="G305" s="415">
        <f t="shared" si="135"/>
        <v>2740.74</v>
      </c>
      <c r="H305" s="416">
        <f t="shared" si="136"/>
        <v>0</v>
      </c>
      <c r="I305" s="416">
        <f t="shared" si="137"/>
        <v>534.4443</v>
      </c>
      <c r="J305" s="417">
        <f t="shared" si="138"/>
        <v>3275.1842999999999</v>
      </c>
    </row>
    <row r="306" spans="1:10" s="325" customFormat="1" ht="28.8">
      <c r="A306" s="410" t="s">
        <v>1163</v>
      </c>
      <c r="B306" s="428" t="s">
        <v>2473</v>
      </c>
      <c r="C306" s="412" t="s">
        <v>1162</v>
      </c>
      <c r="D306" s="411" t="s">
        <v>422</v>
      </c>
      <c r="E306" s="429">
        <v>2</v>
      </c>
      <c r="F306" s="414">
        <v>122.89</v>
      </c>
      <c r="G306" s="415">
        <f t="shared" si="135"/>
        <v>245.78</v>
      </c>
      <c r="H306" s="416">
        <f t="shared" si="136"/>
        <v>0</v>
      </c>
      <c r="I306" s="416">
        <f t="shared" si="137"/>
        <v>47.927100000000003</v>
      </c>
      <c r="J306" s="417">
        <f t="shared" si="138"/>
        <v>293.70710000000003</v>
      </c>
    </row>
    <row r="307" spans="1:10" s="325" customFormat="1" ht="15" customHeight="1">
      <c r="A307" s="410" t="s">
        <v>1165</v>
      </c>
      <c r="B307" s="428" t="s">
        <v>2473</v>
      </c>
      <c r="C307" s="412" t="s">
        <v>1164</v>
      </c>
      <c r="D307" s="411" t="s">
        <v>422</v>
      </c>
      <c r="E307" s="429">
        <v>1</v>
      </c>
      <c r="F307" s="414">
        <v>187.24</v>
      </c>
      <c r="G307" s="415">
        <f t="shared" si="135"/>
        <v>187.24</v>
      </c>
      <c r="H307" s="416">
        <f t="shared" si="136"/>
        <v>0</v>
      </c>
      <c r="I307" s="416">
        <f t="shared" si="137"/>
        <v>36.511800000000001</v>
      </c>
      <c r="J307" s="417">
        <f t="shared" si="138"/>
        <v>223.7518</v>
      </c>
    </row>
    <row r="308" spans="1:10" s="325" customFormat="1" ht="28.8">
      <c r="A308" s="410" t="s">
        <v>1168</v>
      </c>
      <c r="B308" s="428" t="s">
        <v>2473</v>
      </c>
      <c r="C308" s="474" t="s">
        <v>1167</v>
      </c>
      <c r="D308" s="428" t="s">
        <v>1158</v>
      </c>
      <c r="E308" s="429">
        <v>1</v>
      </c>
      <c r="F308" s="414">
        <v>931.84</v>
      </c>
      <c r="G308" s="415">
        <f t="shared" si="135"/>
        <v>931.84</v>
      </c>
      <c r="H308" s="416">
        <f t="shared" si="136"/>
        <v>0</v>
      </c>
      <c r="I308" s="416">
        <f t="shared" si="137"/>
        <v>181.70880000000002</v>
      </c>
      <c r="J308" s="417">
        <f t="shared" si="138"/>
        <v>1113.5488</v>
      </c>
    </row>
    <row r="309" spans="1:10" ht="85.5" customHeight="1">
      <c r="A309" s="419" t="str">
        <f>ORÇAMENTO!C1279</f>
        <v>COMPOSIÇÃO</v>
      </c>
      <c r="B309" s="420" t="str">
        <f>$B$277</f>
        <v>CDHU - BOLETIM 191 + FDE - 07/2023 + SINAPI SP - 08/2023</v>
      </c>
      <c r="C309" s="421" t="str">
        <f>ORÇAMENTO!E1279</f>
        <v>PARA PAINEL ELÉTRICO 002 - JOSÉ RIBEIRO</v>
      </c>
      <c r="D309" s="420" t="str">
        <f>ORÇAMENTO!F1279</f>
        <v>Uni.</v>
      </c>
      <c r="E309" s="422" t="s">
        <v>712</v>
      </c>
      <c r="F309" s="423" t="s">
        <v>712</v>
      </c>
      <c r="G309" s="424" t="s">
        <v>712</v>
      </c>
      <c r="H309" s="424" t="s">
        <v>712</v>
      </c>
      <c r="I309" s="424" t="s">
        <v>712</v>
      </c>
      <c r="J309" s="425">
        <f>SUM(J310:J316)</f>
        <v>9339.4647480000003</v>
      </c>
    </row>
    <row r="310" spans="1:10" s="325" customFormat="1" ht="28.8">
      <c r="A310" s="410" t="s">
        <v>706</v>
      </c>
      <c r="B310" s="428" t="s">
        <v>2473</v>
      </c>
      <c r="C310" s="474" t="s">
        <v>1166</v>
      </c>
      <c r="D310" s="428" t="s">
        <v>541</v>
      </c>
      <c r="E310" s="429">
        <f>0.8*1.2</f>
        <v>0.96</v>
      </c>
      <c r="F310" s="414">
        <v>2827.84</v>
      </c>
      <c r="G310" s="415">
        <f t="shared" ref="G310:G316" si="139">E310*F310</f>
        <v>2714.7264</v>
      </c>
      <c r="H310" s="416">
        <f t="shared" ref="H310:H316" si="140">G310*$J$3</f>
        <v>0</v>
      </c>
      <c r="I310" s="416">
        <f t="shared" ref="I310:I316" si="141">(G310+H310)*J$4</f>
        <v>529.37164800000005</v>
      </c>
      <c r="J310" s="417">
        <f t="shared" ref="J310:J316" si="142">G310+H310+I310</f>
        <v>3244.0980479999998</v>
      </c>
    </row>
    <row r="311" spans="1:10" s="325" customFormat="1">
      <c r="A311" s="410" t="s">
        <v>876</v>
      </c>
      <c r="B311" s="428" t="s">
        <v>2474</v>
      </c>
      <c r="C311" s="474" t="s">
        <v>877</v>
      </c>
      <c r="D311" s="411" t="s">
        <v>422</v>
      </c>
      <c r="E311" s="429">
        <v>1</v>
      </c>
      <c r="F311" s="414">
        <f>158.18/1.195</f>
        <v>132.36820083682008</v>
      </c>
      <c r="G311" s="415">
        <f t="shared" si="139"/>
        <v>132.36820083682008</v>
      </c>
      <c r="H311" s="416">
        <f t="shared" si="140"/>
        <v>0</v>
      </c>
      <c r="I311" s="416">
        <f t="shared" si="141"/>
        <v>25.811799163179916</v>
      </c>
      <c r="J311" s="417">
        <f t="shared" si="142"/>
        <v>158.18</v>
      </c>
    </row>
    <row r="312" spans="1:10" s="325" customFormat="1">
      <c r="A312" s="410" t="s">
        <v>1160</v>
      </c>
      <c r="B312" s="428" t="s">
        <v>2474</v>
      </c>
      <c r="C312" s="412" t="s">
        <v>1159</v>
      </c>
      <c r="D312" s="411" t="s">
        <v>422</v>
      </c>
      <c r="E312" s="429">
        <v>30</v>
      </c>
      <c r="F312" s="414">
        <f>F304</f>
        <v>66.376569037656893</v>
      </c>
      <c r="G312" s="415">
        <f t="shared" si="139"/>
        <v>1991.2970711297069</v>
      </c>
      <c r="H312" s="416">
        <f t="shared" si="140"/>
        <v>0</v>
      </c>
      <c r="I312" s="416">
        <f t="shared" si="141"/>
        <v>388.30292887029287</v>
      </c>
      <c r="J312" s="417">
        <f t="shared" si="142"/>
        <v>2379.6</v>
      </c>
    </row>
    <row r="313" spans="1:10" s="325" customFormat="1" ht="28.8">
      <c r="A313" s="410">
        <v>1623</v>
      </c>
      <c r="B313" s="428" t="s">
        <v>2471</v>
      </c>
      <c r="C313" s="474" t="s">
        <v>1161</v>
      </c>
      <c r="D313" s="411" t="s">
        <v>422</v>
      </c>
      <c r="E313" s="429">
        <v>10</v>
      </c>
      <c r="F313" s="414">
        <v>161.22</v>
      </c>
      <c r="G313" s="415">
        <f t="shared" si="139"/>
        <v>1612.2</v>
      </c>
      <c r="H313" s="416">
        <f t="shared" si="140"/>
        <v>0</v>
      </c>
      <c r="I313" s="416">
        <f t="shared" si="141"/>
        <v>314.37900000000002</v>
      </c>
      <c r="J313" s="417">
        <f t="shared" si="142"/>
        <v>1926.5790000000002</v>
      </c>
    </row>
    <row r="314" spans="1:10" s="325" customFormat="1" ht="28.8">
      <c r="A314" s="410" t="s">
        <v>1163</v>
      </c>
      <c r="B314" s="428" t="s">
        <v>2473</v>
      </c>
      <c r="C314" s="412" t="s">
        <v>1162</v>
      </c>
      <c r="D314" s="411" t="s">
        <v>422</v>
      </c>
      <c r="E314" s="429">
        <v>2</v>
      </c>
      <c r="F314" s="414">
        <v>122.89</v>
      </c>
      <c r="G314" s="415">
        <f t="shared" si="139"/>
        <v>245.78</v>
      </c>
      <c r="H314" s="416">
        <f t="shared" si="140"/>
        <v>0</v>
      </c>
      <c r="I314" s="416">
        <f t="shared" si="141"/>
        <v>47.927100000000003</v>
      </c>
      <c r="J314" s="417">
        <f t="shared" si="142"/>
        <v>293.70710000000003</v>
      </c>
    </row>
    <row r="315" spans="1:10" s="325" customFormat="1" ht="15" customHeight="1">
      <c r="A315" s="410" t="s">
        <v>1165</v>
      </c>
      <c r="B315" s="428" t="s">
        <v>2473</v>
      </c>
      <c r="C315" s="412" t="s">
        <v>1164</v>
      </c>
      <c r="D315" s="411" t="s">
        <v>422</v>
      </c>
      <c r="E315" s="429">
        <v>1</v>
      </c>
      <c r="F315" s="414">
        <v>187.24</v>
      </c>
      <c r="G315" s="415">
        <f t="shared" si="139"/>
        <v>187.24</v>
      </c>
      <c r="H315" s="416">
        <f t="shared" si="140"/>
        <v>0</v>
      </c>
      <c r="I315" s="416">
        <f t="shared" si="141"/>
        <v>36.511800000000001</v>
      </c>
      <c r="J315" s="417">
        <f t="shared" si="142"/>
        <v>223.7518</v>
      </c>
    </row>
    <row r="316" spans="1:10" s="325" customFormat="1" ht="28.8">
      <c r="A316" s="410" t="s">
        <v>1168</v>
      </c>
      <c r="B316" s="428" t="s">
        <v>2473</v>
      </c>
      <c r="C316" s="474" t="s">
        <v>1167</v>
      </c>
      <c r="D316" s="428" t="s">
        <v>1158</v>
      </c>
      <c r="E316" s="429">
        <v>1</v>
      </c>
      <c r="F316" s="414">
        <v>931.84</v>
      </c>
      <c r="G316" s="415">
        <f t="shared" si="139"/>
        <v>931.84</v>
      </c>
      <c r="H316" s="416">
        <f t="shared" si="140"/>
        <v>0</v>
      </c>
      <c r="I316" s="416">
        <f t="shared" si="141"/>
        <v>181.70880000000002</v>
      </c>
      <c r="J316" s="417">
        <f t="shared" si="142"/>
        <v>1113.5488</v>
      </c>
    </row>
    <row r="317" spans="1:10" ht="84.75" customHeight="1">
      <c r="A317" s="419" t="str">
        <f>ORÇAMENTO!C1335</f>
        <v>COMPOSIÇÃO</v>
      </c>
      <c r="B317" s="420" t="str">
        <f>$B$277</f>
        <v>CDHU - BOLETIM 191 + FDE - 07/2023 + SINAPI SP - 08/2023</v>
      </c>
      <c r="C317" s="421" t="str">
        <f>ORÇAMENTO!E1335</f>
        <v>PARA PAINEL ELÉTRICO 008 - PAULO BIMBO GOMES</v>
      </c>
      <c r="D317" s="420" t="str">
        <f>ORÇAMENTO!F1335</f>
        <v>Uni.</v>
      </c>
      <c r="E317" s="422" t="s">
        <v>712</v>
      </c>
      <c r="F317" s="423" t="s">
        <v>712</v>
      </c>
      <c r="G317" s="424" t="s">
        <v>712</v>
      </c>
      <c r="H317" s="424" t="s">
        <v>712</v>
      </c>
      <c r="I317" s="424" t="s">
        <v>712</v>
      </c>
      <c r="J317" s="425">
        <f>SUM(J318:J324)</f>
        <v>8829.5268479999995</v>
      </c>
    </row>
    <row r="318" spans="1:10" s="325" customFormat="1" ht="28.8">
      <c r="A318" s="410" t="s">
        <v>706</v>
      </c>
      <c r="B318" s="428" t="s">
        <v>2473</v>
      </c>
      <c r="C318" s="474" t="s">
        <v>1166</v>
      </c>
      <c r="D318" s="428" t="s">
        <v>541</v>
      </c>
      <c r="E318" s="429">
        <f>0.8*1.2</f>
        <v>0.96</v>
      </c>
      <c r="F318" s="414">
        <v>2827.84</v>
      </c>
      <c r="G318" s="415">
        <f t="shared" ref="G318:G324" si="143">E318*F318</f>
        <v>2714.7264</v>
      </c>
      <c r="H318" s="416">
        <f t="shared" ref="H318:H324" si="144">G318*$J$3</f>
        <v>0</v>
      </c>
      <c r="I318" s="416">
        <f t="shared" ref="I318:I324" si="145">(G318+H318)*J$4</f>
        <v>529.37164800000005</v>
      </c>
      <c r="J318" s="417">
        <f t="shared" ref="J318:J324" si="146">G318+H318+I318</f>
        <v>3244.0980479999998</v>
      </c>
    </row>
    <row r="319" spans="1:10" s="325" customFormat="1">
      <c r="A319" s="410" t="s">
        <v>876</v>
      </c>
      <c r="B319" s="428" t="s">
        <v>2474</v>
      </c>
      <c r="C319" s="474" t="s">
        <v>877</v>
      </c>
      <c r="D319" s="411" t="s">
        <v>422</v>
      </c>
      <c r="E319" s="429">
        <v>1</v>
      </c>
      <c r="F319" s="414">
        <f>F311</f>
        <v>132.36820083682008</v>
      </c>
      <c r="G319" s="415">
        <f t="shared" si="143"/>
        <v>132.36820083682008</v>
      </c>
      <c r="H319" s="416">
        <f t="shared" si="144"/>
        <v>0</v>
      </c>
      <c r="I319" s="416">
        <f t="shared" si="145"/>
        <v>25.811799163179916</v>
      </c>
      <c r="J319" s="417">
        <f t="shared" si="146"/>
        <v>158.18</v>
      </c>
    </row>
    <row r="320" spans="1:10" s="325" customFormat="1">
      <c r="A320" s="410" t="s">
        <v>1160</v>
      </c>
      <c r="B320" s="428" t="s">
        <v>2474</v>
      </c>
      <c r="C320" s="412" t="s">
        <v>1159</v>
      </c>
      <c r="D320" s="411" t="s">
        <v>422</v>
      </c>
      <c r="E320" s="429">
        <v>26</v>
      </c>
      <c r="F320" s="414">
        <f>F312</f>
        <v>66.376569037656893</v>
      </c>
      <c r="G320" s="415">
        <f t="shared" si="143"/>
        <v>1725.7907949790792</v>
      </c>
      <c r="H320" s="416">
        <f t="shared" si="144"/>
        <v>0</v>
      </c>
      <c r="I320" s="416">
        <f t="shared" si="145"/>
        <v>336.52920502092047</v>
      </c>
      <c r="J320" s="417">
        <f t="shared" si="146"/>
        <v>2062.3199999999997</v>
      </c>
    </row>
    <row r="321" spans="1:10" s="325" customFormat="1" ht="28.8">
      <c r="A321" s="410">
        <v>1623</v>
      </c>
      <c r="B321" s="428" t="s">
        <v>2471</v>
      </c>
      <c r="C321" s="474" t="s">
        <v>1161</v>
      </c>
      <c r="D321" s="411" t="s">
        <v>422</v>
      </c>
      <c r="E321" s="429">
        <v>9</v>
      </c>
      <c r="F321" s="414">
        <v>161.22</v>
      </c>
      <c r="G321" s="415">
        <f t="shared" si="143"/>
        <v>1450.98</v>
      </c>
      <c r="H321" s="416">
        <f t="shared" si="144"/>
        <v>0</v>
      </c>
      <c r="I321" s="416">
        <f t="shared" si="145"/>
        <v>282.94110000000001</v>
      </c>
      <c r="J321" s="417">
        <f t="shared" si="146"/>
        <v>1733.9211</v>
      </c>
    </row>
    <row r="322" spans="1:10" s="325" customFormat="1" ht="28.8">
      <c r="A322" s="410" t="s">
        <v>1163</v>
      </c>
      <c r="B322" s="428" t="s">
        <v>2473</v>
      </c>
      <c r="C322" s="412" t="s">
        <v>1162</v>
      </c>
      <c r="D322" s="411" t="s">
        <v>422</v>
      </c>
      <c r="E322" s="429">
        <v>2</v>
      </c>
      <c r="F322" s="414">
        <v>122.89</v>
      </c>
      <c r="G322" s="415">
        <f t="shared" si="143"/>
        <v>245.78</v>
      </c>
      <c r="H322" s="416">
        <f t="shared" si="144"/>
        <v>0</v>
      </c>
      <c r="I322" s="416">
        <f t="shared" si="145"/>
        <v>47.927100000000003</v>
      </c>
      <c r="J322" s="417">
        <f t="shared" si="146"/>
        <v>293.70710000000003</v>
      </c>
    </row>
    <row r="323" spans="1:10" s="325" customFormat="1" ht="15" customHeight="1">
      <c r="A323" s="410" t="s">
        <v>1165</v>
      </c>
      <c r="B323" s="428" t="s">
        <v>2473</v>
      </c>
      <c r="C323" s="412" t="s">
        <v>1164</v>
      </c>
      <c r="D323" s="411" t="s">
        <v>422</v>
      </c>
      <c r="E323" s="429">
        <v>1</v>
      </c>
      <c r="F323" s="414">
        <v>187.24</v>
      </c>
      <c r="G323" s="415">
        <f t="shared" si="143"/>
        <v>187.24</v>
      </c>
      <c r="H323" s="416">
        <f t="shared" si="144"/>
        <v>0</v>
      </c>
      <c r="I323" s="416">
        <f t="shared" si="145"/>
        <v>36.511800000000001</v>
      </c>
      <c r="J323" s="417">
        <f t="shared" si="146"/>
        <v>223.7518</v>
      </c>
    </row>
    <row r="324" spans="1:10" s="325" customFormat="1" ht="28.8">
      <c r="A324" s="410" t="s">
        <v>1168</v>
      </c>
      <c r="B324" s="428" t="s">
        <v>2473</v>
      </c>
      <c r="C324" s="474" t="s">
        <v>1167</v>
      </c>
      <c r="D324" s="428" t="s">
        <v>1158</v>
      </c>
      <c r="E324" s="429">
        <v>1</v>
      </c>
      <c r="F324" s="414">
        <v>931.84</v>
      </c>
      <c r="G324" s="415">
        <f t="shared" si="143"/>
        <v>931.84</v>
      </c>
      <c r="H324" s="416">
        <f t="shared" si="144"/>
        <v>0</v>
      </c>
      <c r="I324" s="416">
        <f t="shared" si="145"/>
        <v>181.70880000000002</v>
      </c>
      <c r="J324" s="417">
        <f t="shared" si="146"/>
        <v>1113.5488</v>
      </c>
    </row>
    <row r="325" spans="1:10" ht="82.5" customHeight="1">
      <c r="A325" s="419" t="str">
        <f>ORÇAMENTO!C1391</f>
        <v>COMPOSIÇÃO</v>
      </c>
      <c r="B325" s="420" t="str">
        <f>$B$277</f>
        <v>CDHU - BOLETIM 191 + FDE - 07/2023 + SINAPI SP - 08/2023</v>
      </c>
      <c r="C325" s="421" t="str">
        <f>ORÇAMENTO!E1391</f>
        <v>PARA PAINEL ELÉTRICO 012 - PEDRO NETO II</v>
      </c>
      <c r="D325" s="420" t="str">
        <f>ORÇAMENTO!F1391</f>
        <v>Uni.</v>
      </c>
      <c r="E325" s="422" t="s">
        <v>712</v>
      </c>
      <c r="F325" s="423" t="s">
        <v>712</v>
      </c>
      <c r="G325" s="424" t="s">
        <v>712</v>
      </c>
      <c r="H325" s="424" t="s">
        <v>712</v>
      </c>
      <c r="I325" s="424" t="s">
        <v>712</v>
      </c>
      <c r="J325" s="425">
        <f>SUM(J326:J332)</f>
        <v>8126.9310479999986</v>
      </c>
    </row>
    <row r="326" spans="1:10" s="325" customFormat="1" ht="28.8">
      <c r="A326" s="410" t="s">
        <v>706</v>
      </c>
      <c r="B326" s="428" t="s">
        <v>2473</v>
      </c>
      <c r="C326" s="474" t="s">
        <v>1166</v>
      </c>
      <c r="D326" s="428" t="s">
        <v>541</v>
      </c>
      <c r="E326" s="429">
        <f>0.8*1.2</f>
        <v>0.96</v>
      </c>
      <c r="F326" s="414">
        <v>2827.84</v>
      </c>
      <c r="G326" s="415">
        <f t="shared" ref="G326:G332" si="147">E326*F326</f>
        <v>2714.7264</v>
      </c>
      <c r="H326" s="416">
        <f t="shared" ref="H326:H332" si="148">G326*$J$3</f>
        <v>0</v>
      </c>
      <c r="I326" s="416">
        <f t="shared" ref="I326:I332" si="149">(G326+H326)*J$4</f>
        <v>529.37164800000005</v>
      </c>
      <c r="J326" s="417">
        <f t="shared" ref="J326:J332" si="150">G326+H326+I326</f>
        <v>3244.0980479999998</v>
      </c>
    </row>
    <row r="327" spans="1:10" s="325" customFormat="1">
      <c r="A327" s="410" t="s">
        <v>876</v>
      </c>
      <c r="B327" s="428" t="s">
        <v>2474</v>
      </c>
      <c r="C327" s="474" t="s">
        <v>877</v>
      </c>
      <c r="D327" s="411" t="s">
        <v>422</v>
      </c>
      <c r="E327" s="429">
        <v>1</v>
      </c>
      <c r="F327" s="414">
        <f>F319</f>
        <v>132.36820083682008</v>
      </c>
      <c r="G327" s="415">
        <f t="shared" si="147"/>
        <v>132.36820083682008</v>
      </c>
      <c r="H327" s="416">
        <f t="shared" si="148"/>
        <v>0</v>
      </c>
      <c r="I327" s="416">
        <f t="shared" si="149"/>
        <v>25.811799163179916</v>
      </c>
      <c r="J327" s="417">
        <f t="shared" si="150"/>
        <v>158.18</v>
      </c>
    </row>
    <row r="328" spans="1:10" s="325" customFormat="1">
      <c r="A328" s="410" t="s">
        <v>1160</v>
      </c>
      <c r="B328" s="428" t="s">
        <v>2474</v>
      </c>
      <c r="C328" s="412" t="s">
        <v>1159</v>
      </c>
      <c r="D328" s="411" t="s">
        <v>422</v>
      </c>
      <c r="E328" s="429">
        <v>22</v>
      </c>
      <c r="F328" s="414">
        <f>F320</f>
        <v>66.376569037656893</v>
      </c>
      <c r="G328" s="415">
        <f t="shared" si="147"/>
        <v>1460.2845188284516</v>
      </c>
      <c r="H328" s="416">
        <f t="shared" si="148"/>
        <v>0</v>
      </c>
      <c r="I328" s="416">
        <f t="shared" si="149"/>
        <v>284.75548117154807</v>
      </c>
      <c r="J328" s="417">
        <f t="shared" si="150"/>
        <v>1745.0399999999997</v>
      </c>
    </row>
    <row r="329" spans="1:10" s="325" customFormat="1" ht="28.8">
      <c r="A329" s="410">
        <v>1623</v>
      </c>
      <c r="B329" s="428" t="s">
        <v>2471</v>
      </c>
      <c r="C329" s="474" t="s">
        <v>1161</v>
      </c>
      <c r="D329" s="411" t="s">
        <v>422</v>
      </c>
      <c r="E329" s="429">
        <v>7</v>
      </c>
      <c r="F329" s="414">
        <v>161.22</v>
      </c>
      <c r="G329" s="415">
        <f t="shared" si="147"/>
        <v>1128.54</v>
      </c>
      <c r="H329" s="416">
        <f t="shared" si="148"/>
        <v>0</v>
      </c>
      <c r="I329" s="416">
        <f t="shared" si="149"/>
        <v>220.06530000000001</v>
      </c>
      <c r="J329" s="417">
        <f t="shared" si="150"/>
        <v>1348.6052999999999</v>
      </c>
    </row>
    <row r="330" spans="1:10" s="325" customFormat="1" ht="28.8">
      <c r="A330" s="410" t="s">
        <v>1163</v>
      </c>
      <c r="B330" s="428" t="s">
        <v>2473</v>
      </c>
      <c r="C330" s="412" t="s">
        <v>1162</v>
      </c>
      <c r="D330" s="411" t="s">
        <v>422</v>
      </c>
      <c r="E330" s="429">
        <v>2</v>
      </c>
      <c r="F330" s="414">
        <v>122.89</v>
      </c>
      <c r="G330" s="415">
        <f t="shared" si="147"/>
        <v>245.78</v>
      </c>
      <c r="H330" s="416">
        <f t="shared" si="148"/>
        <v>0</v>
      </c>
      <c r="I330" s="416">
        <f t="shared" si="149"/>
        <v>47.927100000000003</v>
      </c>
      <c r="J330" s="417">
        <f t="shared" si="150"/>
        <v>293.70710000000003</v>
      </c>
    </row>
    <row r="331" spans="1:10" s="325" customFormat="1" ht="15" customHeight="1">
      <c r="A331" s="410" t="s">
        <v>1165</v>
      </c>
      <c r="B331" s="428" t="s">
        <v>2473</v>
      </c>
      <c r="C331" s="412" t="s">
        <v>1164</v>
      </c>
      <c r="D331" s="411" t="s">
        <v>422</v>
      </c>
      <c r="E331" s="429">
        <v>1</v>
      </c>
      <c r="F331" s="414">
        <v>187.24</v>
      </c>
      <c r="G331" s="415">
        <f t="shared" si="147"/>
        <v>187.24</v>
      </c>
      <c r="H331" s="416">
        <f t="shared" si="148"/>
        <v>0</v>
      </c>
      <c r="I331" s="416">
        <f t="shared" si="149"/>
        <v>36.511800000000001</v>
      </c>
      <c r="J331" s="417">
        <f t="shared" si="150"/>
        <v>223.7518</v>
      </c>
    </row>
    <row r="332" spans="1:10" s="325" customFormat="1" ht="28.8">
      <c r="A332" s="410" t="s">
        <v>1168</v>
      </c>
      <c r="B332" s="428" t="s">
        <v>2473</v>
      </c>
      <c r="C332" s="474" t="s">
        <v>1167</v>
      </c>
      <c r="D332" s="428" t="s">
        <v>1158</v>
      </c>
      <c r="E332" s="429">
        <v>1</v>
      </c>
      <c r="F332" s="414">
        <v>931.84</v>
      </c>
      <c r="G332" s="415">
        <f t="shared" si="147"/>
        <v>931.84</v>
      </c>
      <c r="H332" s="416">
        <f t="shared" si="148"/>
        <v>0</v>
      </c>
      <c r="I332" s="416">
        <f t="shared" si="149"/>
        <v>181.70880000000002</v>
      </c>
      <c r="J332" s="417">
        <f t="shared" si="150"/>
        <v>1113.5488</v>
      </c>
    </row>
    <row r="333" spans="1:10" ht="84.75" customHeight="1">
      <c r="A333" s="419" t="str">
        <f>ORÇAMENTO!C1450</f>
        <v>COMPOSIÇÃO</v>
      </c>
      <c r="B333" s="420" t="str">
        <f>$B$277</f>
        <v>CDHU - BOLETIM 191 + FDE - 07/2023 + SINAPI SP - 08/2023</v>
      </c>
      <c r="C333" s="421" t="str">
        <f>ORÇAMENTO!E1450</f>
        <v>PARA PAINEL ELÉTRICO 006 - SANTO GARBIM</v>
      </c>
      <c r="D333" s="420" t="str">
        <f>ORÇAMENTO!F1450</f>
        <v>Uni.</v>
      </c>
      <c r="E333" s="422" t="s">
        <v>712</v>
      </c>
      <c r="F333" s="423" t="s">
        <v>712</v>
      </c>
      <c r="G333" s="424" t="s">
        <v>712</v>
      </c>
      <c r="H333" s="424" t="s">
        <v>712</v>
      </c>
      <c r="I333" s="424" t="s">
        <v>712</v>
      </c>
      <c r="J333" s="425">
        <f>SUM(J334:J340)</f>
        <v>7723.4239479999997</v>
      </c>
    </row>
    <row r="334" spans="1:10" s="325" customFormat="1" ht="28.8">
      <c r="A334" s="410" t="s">
        <v>706</v>
      </c>
      <c r="B334" s="428" t="s">
        <v>2473</v>
      </c>
      <c r="C334" s="474" t="s">
        <v>1166</v>
      </c>
      <c r="D334" s="428" t="s">
        <v>541</v>
      </c>
      <c r="E334" s="429">
        <f>0.8*1.2</f>
        <v>0.96</v>
      </c>
      <c r="F334" s="414">
        <v>2827.84</v>
      </c>
      <c r="G334" s="415">
        <f t="shared" ref="G334:G340" si="151">E334*F334</f>
        <v>2714.7264</v>
      </c>
      <c r="H334" s="416">
        <f t="shared" ref="H334:H340" si="152">G334*$J$3</f>
        <v>0</v>
      </c>
      <c r="I334" s="416">
        <f t="shared" ref="I334:I340" si="153">(G334+H334)*J$4</f>
        <v>529.37164800000005</v>
      </c>
      <c r="J334" s="417">
        <f t="shared" ref="J334:J340" si="154">G334+H334+I334</f>
        <v>3244.0980479999998</v>
      </c>
    </row>
    <row r="335" spans="1:10" s="325" customFormat="1">
      <c r="A335" s="410" t="s">
        <v>876</v>
      </c>
      <c r="B335" s="428" t="s">
        <v>2474</v>
      </c>
      <c r="C335" s="474" t="s">
        <v>877</v>
      </c>
      <c r="D335" s="411" t="s">
        <v>422</v>
      </c>
      <c r="E335" s="429">
        <v>1</v>
      </c>
      <c r="F335" s="414">
        <f>F327</f>
        <v>132.36820083682008</v>
      </c>
      <c r="G335" s="415">
        <f t="shared" si="151"/>
        <v>132.36820083682008</v>
      </c>
      <c r="H335" s="416">
        <f t="shared" si="152"/>
        <v>0</v>
      </c>
      <c r="I335" s="416">
        <f t="shared" si="153"/>
        <v>25.811799163179916</v>
      </c>
      <c r="J335" s="417">
        <f t="shared" si="154"/>
        <v>158.18</v>
      </c>
    </row>
    <row r="336" spans="1:10" s="325" customFormat="1">
      <c r="A336" s="410" t="s">
        <v>1160</v>
      </c>
      <c r="B336" s="428" t="s">
        <v>2474</v>
      </c>
      <c r="C336" s="412" t="s">
        <v>1159</v>
      </c>
      <c r="D336" s="411" t="s">
        <v>422</v>
      </c>
      <c r="E336" s="429">
        <v>17</v>
      </c>
      <c r="F336" s="414">
        <f>F328</f>
        <v>66.376569037656893</v>
      </c>
      <c r="G336" s="415">
        <f t="shared" si="151"/>
        <v>1128.4016736401672</v>
      </c>
      <c r="H336" s="416">
        <f t="shared" si="152"/>
        <v>0</v>
      </c>
      <c r="I336" s="416">
        <f t="shared" si="153"/>
        <v>220.03832635983261</v>
      </c>
      <c r="J336" s="417">
        <f t="shared" si="154"/>
        <v>1348.4399999999998</v>
      </c>
    </row>
    <row r="337" spans="1:10" s="325" customFormat="1" ht="28.8">
      <c r="A337" s="410">
        <v>1623</v>
      </c>
      <c r="B337" s="428" t="s">
        <v>2471</v>
      </c>
      <c r="C337" s="474" t="s">
        <v>1161</v>
      </c>
      <c r="D337" s="411" t="s">
        <v>422</v>
      </c>
      <c r="E337" s="429">
        <v>7</v>
      </c>
      <c r="F337" s="414">
        <v>161.22</v>
      </c>
      <c r="G337" s="415">
        <f t="shared" si="151"/>
        <v>1128.54</v>
      </c>
      <c r="H337" s="416">
        <f t="shared" si="152"/>
        <v>0</v>
      </c>
      <c r="I337" s="416">
        <f t="shared" si="153"/>
        <v>220.06530000000001</v>
      </c>
      <c r="J337" s="417">
        <f t="shared" si="154"/>
        <v>1348.6052999999999</v>
      </c>
    </row>
    <row r="338" spans="1:10" s="325" customFormat="1" ht="28.8">
      <c r="A338" s="410" t="s">
        <v>1163</v>
      </c>
      <c r="B338" s="428" t="s">
        <v>2473</v>
      </c>
      <c r="C338" s="412" t="s">
        <v>1162</v>
      </c>
      <c r="D338" s="411" t="s">
        <v>422</v>
      </c>
      <c r="E338" s="429">
        <v>2</v>
      </c>
      <c r="F338" s="414">
        <v>120</v>
      </c>
      <c r="G338" s="415">
        <f t="shared" si="151"/>
        <v>240</v>
      </c>
      <c r="H338" s="416">
        <f t="shared" si="152"/>
        <v>0</v>
      </c>
      <c r="I338" s="416">
        <f t="shared" si="153"/>
        <v>46.800000000000004</v>
      </c>
      <c r="J338" s="417">
        <f t="shared" si="154"/>
        <v>286.8</v>
      </c>
    </row>
    <row r="339" spans="1:10" s="325" customFormat="1" ht="15" customHeight="1">
      <c r="A339" s="410" t="s">
        <v>1165</v>
      </c>
      <c r="B339" s="428" t="s">
        <v>2473</v>
      </c>
      <c r="C339" s="412" t="s">
        <v>1164</v>
      </c>
      <c r="D339" s="411" t="s">
        <v>422</v>
      </c>
      <c r="E339" s="429">
        <v>1</v>
      </c>
      <c r="F339" s="414">
        <v>187.24</v>
      </c>
      <c r="G339" s="415">
        <f t="shared" si="151"/>
        <v>187.24</v>
      </c>
      <c r="H339" s="416">
        <f t="shared" si="152"/>
        <v>0</v>
      </c>
      <c r="I339" s="416">
        <f t="shared" si="153"/>
        <v>36.511800000000001</v>
      </c>
      <c r="J339" s="417">
        <f t="shared" si="154"/>
        <v>223.7518</v>
      </c>
    </row>
    <row r="340" spans="1:10" s="325" customFormat="1" ht="28.8">
      <c r="A340" s="410" t="s">
        <v>1168</v>
      </c>
      <c r="B340" s="428" t="s">
        <v>2473</v>
      </c>
      <c r="C340" s="474" t="s">
        <v>1167</v>
      </c>
      <c r="D340" s="428" t="s">
        <v>1158</v>
      </c>
      <c r="E340" s="429">
        <v>1</v>
      </c>
      <c r="F340" s="414">
        <v>931.84</v>
      </c>
      <c r="G340" s="415">
        <f t="shared" si="151"/>
        <v>931.84</v>
      </c>
      <c r="H340" s="416">
        <f t="shared" si="152"/>
        <v>0</v>
      </c>
      <c r="I340" s="416">
        <f t="shared" si="153"/>
        <v>181.70880000000002</v>
      </c>
      <c r="J340" s="417">
        <f t="shared" si="154"/>
        <v>1113.5488</v>
      </c>
    </row>
    <row r="341" spans="1:10" ht="85.5" customHeight="1">
      <c r="A341" s="419" t="str">
        <f>ORÇAMENTO!C1512</f>
        <v>COMPOSIÇÃO</v>
      </c>
      <c r="B341" s="420" t="str">
        <f>ORÇAMENTO!D1512</f>
        <v>CDHU - BOLETIM 191 + FDE - 07/2023 + SINAPI SP - 08/2023</v>
      </c>
      <c r="C341" s="421" t="str">
        <f>ORÇAMENTO!E1512</f>
        <v>PARA PAINEL ELÉTRICO 009 - PEDRO NETO I</v>
      </c>
      <c r="D341" s="420" t="str">
        <f>ORÇAMENTO!F1512</f>
        <v>UNID</v>
      </c>
      <c r="E341" s="422" t="s">
        <v>712</v>
      </c>
      <c r="F341" s="423" t="s">
        <v>712</v>
      </c>
      <c r="G341" s="424" t="s">
        <v>712</v>
      </c>
      <c r="H341" s="424" t="s">
        <v>712</v>
      </c>
      <c r="I341" s="424" t="s">
        <v>712</v>
      </c>
      <c r="J341" s="425">
        <f>SUM(J342:J348)</f>
        <v>7723.4239479999997</v>
      </c>
    </row>
    <row r="342" spans="1:10" s="325" customFormat="1" ht="28.8">
      <c r="A342" s="410" t="s">
        <v>706</v>
      </c>
      <c r="B342" s="428" t="s">
        <v>2473</v>
      </c>
      <c r="C342" s="474" t="s">
        <v>1166</v>
      </c>
      <c r="D342" s="428" t="s">
        <v>541</v>
      </c>
      <c r="E342" s="429">
        <f>0.8*1.2</f>
        <v>0.96</v>
      </c>
      <c r="F342" s="414">
        <v>2827.84</v>
      </c>
      <c r="G342" s="415">
        <f t="shared" ref="G342:G348" si="155">E342*F342</f>
        <v>2714.7264</v>
      </c>
      <c r="H342" s="416">
        <f t="shared" ref="H342:H348" si="156">G342*$J$3</f>
        <v>0</v>
      </c>
      <c r="I342" s="416">
        <f t="shared" ref="I342:I348" si="157">(G342+H342)*J$4</f>
        <v>529.37164800000005</v>
      </c>
      <c r="J342" s="417">
        <f t="shared" ref="J342:J348" si="158">G342+H342+I342</f>
        <v>3244.0980479999998</v>
      </c>
    </row>
    <row r="343" spans="1:10" s="325" customFormat="1">
      <c r="A343" s="410" t="s">
        <v>876</v>
      </c>
      <c r="B343" s="428" t="s">
        <v>2474</v>
      </c>
      <c r="C343" s="474" t="s">
        <v>877</v>
      </c>
      <c r="D343" s="411" t="s">
        <v>422</v>
      </c>
      <c r="E343" s="429">
        <v>1</v>
      </c>
      <c r="F343" s="414">
        <f>F335</f>
        <v>132.36820083682008</v>
      </c>
      <c r="G343" s="415">
        <f t="shared" si="155"/>
        <v>132.36820083682008</v>
      </c>
      <c r="H343" s="416">
        <f t="shared" si="156"/>
        <v>0</v>
      </c>
      <c r="I343" s="416">
        <f t="shared" si="157"/>
        <v>25.811799163179916</v>
      </c>
      <c r="J343" s="417">
        <f t="shared" si="158"/>
        <v>158.18</v>
      </c>
    </row>
    <row r="344" spans="1:10" s="325" customFormat="1">
      <c r="A344" s="410" t="s">
        <v>1160</v>
      </c>
      <c r="B344" s="428" t="s">
        <v>2474</v>
      </c>
      <c r="C344" s="412" t="s">
        <v>1159</v>
      </c>
      <c r="D344" s="411" t="s">
        <v>422</v>
      </c>
      <c r="E344" s="429">
        <v>17</v>
      </c>
      <c r="F344" s="414">
        <f>F336</f>
        <v>66.376569037656893</v>
      </c>
      <c r="G344" s="415">
        <f t="shared" si="155"/>
        <v>1128.4016736401672</v>
      </c>
      <c r="H344" s="416">
        <f t="shared" si="156"/>
        <v>0</v>
      </c>
      <c r="I344" s="416">
        <f t="shared" si="157"/>
        <v>220.03832635983261</v>
      </c>
      <c r="J344" s="417">
        <f t="shared" si="158"/>
        <v>1348.4399999999998</v>
      </c>
    </row>
    <row r="345" spans="1:10" s="325" customFormat="1" ht="28.8">
      <c r="A345" s="410">
        <v>1623</v>
      </c>
      <c r="B345" s="428" t="s">
        <v>2471</v>
      </c>
      <c r="C345" s="474" t="s">
        <v>1161</v>
      </c>
      <c r="D345" s="411" t="s">
        <v>422</v>
      </c>
      <c r="E345" s="429">
        <v>7</v>
      </c>
      <c r="F345" s="414">
        <v>161.22</v>
      </c>
      <c r="G345" s="415">
        <f t="shared" si="155"/>
        <v>1128.54</v>
      </c>
      <c r="H345" s="416">
        <f t="shared" si="156"/>
        <v>0</v>
      </c>
      <c r="I345" s="416">
        <f t="shared" si="157"/>
        <v>220.06530000000001</v>
      </c>
      <c r="J345" s="417">
        <f t="shared" si="158"/>
        <v>1348.6052999999999</v>
      </c>
    </row>
    <row r="346" spans="1:10" s="325" customFormat="1" ht="28.8">
      <c r="A346" s="410" t="s">
        <v>1163</v>
      </c>
      <c r="B346" s="428" t="s">
        <v>2473</v>
      </c>
      <c r="C346" s="412" t="s">
        <v>1162</v>
      </c>
      <c r="D346" s="411" t="s">
        <v>422</v>
      </c>
      <c r="E346" s="429">
        <v>2</v>
      </c>
      <c r="F346" s="414">
        <v>120</v>
      </c>
      <c r="G346" s="415">
        <f t="shared" si="155"/>
        <v>240</v>
      </c>
      <c r="H346" s="416">
        <f t="shared" si="156"/>
        <v>0</v>
      </c>
      <c r="I346" s="416">
        <f t="shared" si="157"/>
        <v>46.800000000000004</v>
      </c>
      <c r="J346" s="417">
        <f t="shared" si="158"/>
        <v>286.8</v>
      </c>
    </row>
    <row r="347" spans="1:10" s="325" customFormat="1" ht="15" customHeight="1">
      <c r="A347" s="410" t="s">
        <v>1165</v>
      </c>
      <c r="B347" s="428" t="s">
        <v>2473</v>
      </c>
      <c r="C347" s="412" t="s">
        <v>1164</v>
      </c>
      <c r="D347" s="411" t="s">
        <v>422</v>
      </c>
      <c r="E347" s="429">
        <v>1</v>
      </c>
      <c r="F347" s="414">
        <v>187.24</v>
      </c>
      <c r="G347" s="415">
        <f t="shared" si="155"/>
        <v>187.24</v>
      </c>
      <c r="H347" s="416">
        <f t="shared" si="156"/>
        <v>0</v>
      </c>
      <c r="I347" s="416">
        <f t="shared" si="157"/>
        <v>36.511800000000001</v>
      </c>
      <c r="J347" s="417">
        <f t="shared" si="158"/>
        <v>223.7518</v>
      </c>
    </row>
    <row r="348" spans="1:10" s="325" customFormat="1" ht="28.8">
      <c r="A348" s="410" t="s">
        <v>1168</v>
      </c>
      <c r="B348" s="428" t="s">
        <v>2473</v>
      </c>
      <c r="C348" s="474" t="s">
        <v>1167</v>
      </c>
      <c r="D348" s="428" t="s">
        <v>1158</v>
      </c>
      <c r="E348" s="429">
        <v>1</v>
      </c>
      <c r="F348" s="414">
        <v>931.84</v>
      </c>
      <c r="G348" s="415">
        <f t="shared" si="155"/>
        <v>931.84</v>
      </c>
      <c r="H348" s="416">
        <f t="shared" si="156"/>
        <v>0</v>
      </c>
      <c r="I348" s="416">
        <f t="shared" si="157"/>
        <v>181.70880000000002</v>
      </c>
      <c r="J348" s="417">
        <f t="shared" si="158"/>
        <v>1113.5488</v>
      </c>
    </row>
  </sheetData>
  <autoFilter ref="A5:J348"/>
  <mergeCells count="3">
    <mergeCell ref="A1:J1"/>
    <mergeCell ref="A2:J2"/>
    <mergeCell ref="A3:H4"/>
  </mergeCells>
  <conditionalFormatting sqref="C116:E116 A116 C39:E39 C17:E17 C22:E22 C27:E27">
    <cfRule type="expression" dxfId="10" priority="115" stopIfTrue="1">
      <formula>AND(#REF!&lt;&gt;"COMPOSICAO",#REF!&lt;&gt;"INSUMO",#REF!&lt;&gt;"")</formula>
    </cfRule>
    <cfRule type="expression" dxfId="9" priority="116" stopIfTrue="1">
      <formula>AND(OR(#REF!="COMPOSICAO",#REF!="INSUMO",#REF!&lt;&gt;""),#REF!&lt;&gt;"")</formula>
    </cfRule>
  </conditionalFormatting>
  <conditionalFormatting sqref="C18:E18">
    <cfRule type="expression" dxfId="8" priority="79" stopIfTrue="1">
      <formula>AND(#REF!&lt;&gt;"COMPOSICAO",#REF!&lt;&gt;"INSUMO",#REF!&lt;&gt;"")</formula>
    </cfRule>
    <cfRule type="expression" dxfId="7" priority="80" stopIfTrue="1">
      <formula>AND(OR(#REF!="COMPOSICAO",#REF!="INSUMO",#REF!&lt;&gt;""),#REF!&lt;&gt;"")</formula>
    </cfRule>
  </conditionalFormatting>
  <conditionalFormatting sqref="C23:E23">
    <cfRule type="expression" dxfId="6" priority="77" stopIfTrue="1">
      <formula>AND(#REF!&lt;&gt;"COMPOSICAO",#REF!&lt;&gt;"INSUMO",#REF!&lt;&gt;"")</formula>
    </cfRule>
    <cfRule type="expression" dxfId="5" priority="78" stopIfTrue="1">
      <formula>AND(OR(#REF!="COMPOSICAO",#REF!="INSUMO",#REF!&lt;&gt;""),#REF!&lt;&gt;"")</formula>
    </cfRule>
  </conditionalFormatting>
  <conditionalFormatting sqref="C123:E123 C120:E121 C125:E127 C53:E53 C43:E43 C28:E28 C32:E33 C47:E47 C45:E45 C55:E55 C57:E57 C49:E51 C13:E13">
    <cfRule type="expression" dxfId="4" priority="73" stopIfTrue="1">
      <formula>AND(#REF!&lt;&gt;"COMPOSICAO",#REF!&lt;&gt;"INSUMO",#REF!&lt;&gt;"")</formula>
    </cfRule>
    <cfRule type="expression" dxfId="3" priority="74" stopIfTrue="1">
      <formula>AND(OR(#REF!="COMPOSICAO",#REF!="INSUMO",#REF!&lt;&gt;""),#REF!&lt;&gt;"")</formula>
    </cfRule>
  </conditionalFormatting>
  <pageMargins left="0.43307086614173229" right="0.31496062992125984" top="0.43307086614173229" bottom="0.47244094488188981" header="0.31496062992125984" footer="0.19685039370078741"/>
  <pageSetup paperSize="9" scale="45" fitToHeight="31" orientation="portrait" r:id="rId1"/>
  <headerFooter>
    <oddFooter>&amp;LPágina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4"/>
  <sheetViews>
    <sheetView view="pageBreakPreview" zoomScale="85" zoomScaleNormal="40" zoomScaleSheetLayoutView="85" workbookViewId="0">
      <pane xSplit="5" ySplit="2" topLeftCell="F120" activePane="bottomRight" state="frozen"/>
      <selection pane="topRight" activeCell="G1" sqref="G1"/>
      <selection pane="bottomLeft" activeCell="A4" sqref="A4"/>
      <selection pane="bottomRight" activeCell="C10" sqref="C10"/>
    </sheetView>
  </sheetViews>
  <sheetFormatPr defaultColWidth="9.109375" defaultRowHeight="14.4"/>
  <cols>
    <col min="1" max="1" width="17.6640625" style="326" customWidth="1"/>
    <col min="2" max="2" width="16.44140625" style="306" bestFit="1" customWidth="1"/>
    <col min="3" max="3" width="68.44140625" style="322" customWidth="1"/>
    <col min="4" max="4" width="8.109375" style="306" bestFit="1" customWidth="1"/>
    <col min="5" max="5" width="10.6640625" style="308" bestFit="1" customWidth="1"/>
    <col min="6" max="6" width="14.33203125" style="272" bestFit="1" customWidth="1"/>
    <col min="7" max="7" width="12.88671875" style="327" customWidth="1"/>
    <col min="8" max="8" width="12.88671875" style="272" customWidth="1"/>
    <col min="9" max="9" width="17.88671875" style="328" bestFit="1" customWidth="1"/>
    <col min="10" max="10" width="14.33203125" style="328" bestFit="1" customWidth="1"/>
    <col min="11" max="11" width="16" style="328" bestFit="1" customWidth="1"/>
    <col min="12" max="12" width="11" style="328" bestFit="1" customWidth="1"/>
    <col min="13" max="13" width="17.88671875" style="328" bestFit="1" customWidth="1"/>
    <col min="14" max="14" width="16.5546875" style="328" bestFit="1" customWidth="1"/>
    <col min="15" max="15" width="14.44140625" style="328" bestFit="1" customWidth="1"/>
    <col min="16" max="16" width="15" style="328" bestFit="1" customWidth="1"/>
    <col min="17" max="17" width="11.44140625" style="328" bestFit="1" customWidth="1"/>
    <col min="18" max="18" width="10.88671875" style="328" bestFit="1" customWidth="1"/>
    <col min="19" max="19" width="9.88671875" style="328" bestFit="1" customWidth="1"/>
    <col min="20" max="20" width="16.109375" style="328" bestFit="1" customWidth="1"/>
    <col min="21" max="22" width="12.88671875" style="328" customWidth="1"/>
    <col min="23" max="23" width="11.5546875" style="328" bestFit="1" customWidth="1"/>
    <col min="24" max="24" width="13.88671875" style="328" bestFit="1" customWidth="1"/>
    <col min="25" max="25" width="14.6640625" style="328" bestFit="1" customWidth="1"/>
    <col min="26" max="26" width="16.6640625" style="328" bestFit="1" customWidth="1"/>
    <col min="27" max="27" width="12.109375" style="328" bestFit="1" customWidth="1"/>
    <col min="28" max="28" width="9.44140625" style="328" bestFit="1" customWidth="1"/>
    <col min="29" max="29" width="13.109375" style="328" bestFit="1" customWidth="1"/>
    <col min="30" max="30" width="13.33203125" style="328" bestFit="1" customWidth="1"/>
    <col min="31" max="31" width="14.33203125" style="328" bestFit="1" customWidth="1"/>
    <col min="32" max="32" width="12.33203125" style="328" bestFit="1" customWidth="1"/>
    <col min="33" max="33" width="9.5546875" style="328" bestFit="1" customWidth="1"/>
    <col min="34" max="34" width="9.6640625" style="328" bestFit="1" customWidth="1"/>
    <col min="35" max="35" width="16" style="328" bestFit="1" customWidth="1"/>
    <col min="36" max="36" width="15" style="328" customWidth="1"/>
    <col min="37" max="38" width="14.33203125" style="328" customWidth="1"/>
    <col min="39" max="39" width="13.109375" style="328" bestFit="1" customWidth="1"/>
    <col min="40" max="40" width="15.5546875" style="329" customWidth="1"/>
    <col min="41" max="41" width="15.88671875" style="324" customWidth="1"/>
    <col min="42" max="42" width="10.5546875" style="306" bestFit="1" customWidth="1"/>
    <col min="43" max="44" width="10.5546875" style="323" bestFit="1" customWidth="1"/>
    <col min="45" max="16384" width="9.109375" style="323"/>
  </cols>
  <sheetData>
    <row r="1" spans="1:42" ht="63" customHeight="1" thickBot="1">
      <c r="A1" s="605" t="s">
        <v>21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</row>
    <row r="2" spans="1:42" s="306" customFormat="1" ht="43.8" thickBot="1">
      <c r="A2" s="57" t="s">
        <v>3</v>
      </c>
      <c r="B2" s="57" t="s">
        <v>880</v>
      </c>
      <c r="C2" s="450" t="s">
        <v>22</v>
      </c>
      <c r="D2" s="450" t="s">
        <v>15</v>
      </c>
      <c r="E2" s="451" t="s">
        <v>1037</v>
      </c>
      <c r="F2" s="450" t="s">
        <v>1129</v>
      </c>
      <c r="G2" s="452" t="s">
        <v>1038</v>
      </c>
      <c r="H2" s="450" t="s">
        <v>1039</v>
      </c>
      <c r="I2" s="453" t="s">
        <v>1040</v>
      </c>
      <c r="J2" s="453" t="s">
        <v>1041</v>
      </c>
      <c r="K2" s="453" t="s">
        <v>1046</v>
      </c>
      <c r="L2" s="453" t="s">
        <v>1047</v>
      </c>
      <c r="M2" s="453" t="s">
        <v>1048</v>
      </c>
      <c r="N2" s="453" t="s">
        <v>1049</v>
      </c>
      <c r="O2" s="453" t="s">
        <v>1050</v>
      </c>
      <c r="P2" s="453" t="s">
        <v>1093</v>
      </c>
      <c r="Q2" s="453" t="s">
        <v>1094</v>
      </c>
      <c r="R2" s="453" t="s">
        <v>1095</v>
      </c>
      <c r="S2" s="453" t="s">
        <v>1096</v>
      </c>
      <c r="T2" s="453" t="s">
        <v>1097</v>
      </c>
      <c r="U2" s="453" t="s">
        <v>1098</v>
      </c>
      <c r="V2" s="453" t="s">
        <v>1124</v>
      </c>
      <c r="W2" s="453" t="s">
        <v>1099</v>
      </c>
      <c r="X2" s="453" t="s">
        <v>1100</v>
      </c>
      <c r="Y2" s="453" t="s">
        <v>1101</v>
      </c>
      <c r="Z2" s="453" t="s">
        <v>1102</v>
      </c>
      <c r="AA2" s="453" t="s">
        <v>1103</v>
      </c>
      <c r="AB2" s="453" t="s">
        <v>1104</v>
      </c>
      <c r="AC2" s="453" t="s">
        <v>1105</v>
      </c>
      <c r="AD2" s="453" t="s">
        <v>1106</v>
      </c>
      <c r="AE2" s="453" t="s">
        <v>1107</v>
      </c>
      <c r="AF2" s="453" t="s">
        <v>1108</v>
      </c>
      <c r="AG2" s="453" t="s">
        <v>1109</v>
      </c>
      <c r="AH2" s="453" t="s">
        <v>1110</v>
      </c>
      <c r="AI2" s="453" t="s">
        <v>1113</v>
      </c>
      <c r="AJ2" s="453" t="s">
        <v>1114</v>
      </c>
      <c r="AK2" s="453" t="s">
        <v>1115</v>
      </c>
      <c r="AL2" s="453" t="s">
        <v>1116</v>
      </c>
      <c r="AM2" s="453" t="s">
        <v>1123</v>
      </c>
      <c r="AN2" s="464" t="s">
        <v>23</v>
      </c>
      <c r="AO2" s="449"/>
    </row>
    <row r="3" spans="1:42" s="335" customFormat="1" ht="28.8">
      <c r="A3" s="454" t="s">
        <v>885</v>
      </c>
      <c r="B3" s="455" t="e">
        <f>COMPOSIÇÕES!#REF!</f>
        <v>#REF!</v>
      </c>
      <c r="C3" s="456" t="str">
        <f>COMPOSIÇÕES!C49</f>
        <v>Grelha de insuflação de ar em alumínio anodizado, de dupla deflexão,tamanho: até 0,10 m²</v>
      </c>
      <c r="D3" s="455" t="str">
        <f>COMPOSIÇÕES!D48</f>
        <v>UNID.</v>
      </c>
      <c r="E3" s="457">
        <f>3 + 3 + 2 + 1 + 1+ 2+ 1 + 1 + 1 + 2 + 2 + 2 + 2 + 2 + 3 + 1 + 1 + 1 + 1 + 2 + 1 + 1</f>
        <v>36</v>
      </c>
      <c r="F3" s="458"/>
      <c r="G3" s="458"/>
      <c r="H3" s="458"/>
      <c r="I3" s="458">
        <v>63</v>
      </c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>
        <v>36.68</v>
      </c>
      <c r="W3" s="458">
        <v>55.5</v>
      </c>
      <c r="X3" s="458">
        <v>24.97</v>
      </c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62"/>
      <c r="AN3" s="459">
        <f>MEDIAN(F3:AM3)</f>
        <v>46.09</v>
      </c>
      <c r="AO3" s="366"/>
      <c r="AP3" s="367"/>
    </row>
    <row r="4" spans="1:42" s="335" customFormat="1" ht="28.8">
      <c r="A4" s="460" t="s">
        <v>886</v>
      </c>
      <c r="B4" s="368" t="e">
        <f>COMPOSIÇÕES!#REF!</f>
        <v>#REF!</v>
      </c>
      <c r="C4" s="369" t="str">
        <f>COMPOSIÇÕES!C53</f>
        <v>Veneziana com tela e filtro G4</v>
      </c>
      <c r="D4" s="368" t="str">
        <f>COMPOSIÇÕES!D52</f>
        <v>UNID</v>
      </c>
      <c r="E4" s="370">
        <f>18 + 8 + 2 + 3 + 18 + 15 + 5 + 8</f>
        <v>77</v>
      </c>
      <c r="F4" s="365"/>
      <c r="G4" s="365"/>
      <c r="H4" s="365"/>
      <c r="I4" s="365">
        <v>160</v>
      </c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>
        <v>91.19</v>
      </c>
      <c r="W4" s="365">
        <v>95.06</v>
      </c>
      <c r="X4" s="365">
        <v>48.02</v>
      </c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463"/>
      <c r="AN4" s="461">
        <f>MEDIAN(F4:AM4)</f>
        <v>93.125</v>
      </c>
      <c r="AO4" s="366"/>
      <c r="AP4" s="367"/>
    </row>
    <row r="5" spans="1:42" s="335" customFormat="1" ht="28.8">
      <c r="A5" s="460" t="s">
        <v>887</v>
      </c>
      <c r="B5" s="368" t="e">
        <f>COMPOSIÇÕES!#REF!</f>
        <v>#REF!</v>
      </c>
      <c r="C5" s="369" t="str">
        <f>COMPOSIÇÕES!C55</f>
        <v>Veneziana com tela e filtro G4</v>
      </c>
      <c r="D5" s="368" t="str">
        <f>COMPOSIÇÕES!D54</f>
        <v>UNID</v>
      </c>
      <c r="E5" s="370">
        <f>2</f>
        <v>2</v>
      </c>
      <c r="F5" s="365"/>
      <c r="G5" s="365"/>
      <c r="H5" s="365"/>
      <c r="I5" s="365">
        <v>75</v>
      </c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>
        <v>67.709999999999994</v>
      </c>
      <c r="W5" s="365">
        <v>62.11</v>
      </c>
      <c r="X5" s="365">
        <v>33.26</v>
      </c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463"/>
      <c r="AN5" s="461">
        <f t="shared" ref="AN5:AN68" si="0">MEDIAN(F5:AM5)</f>
        <v>64.91</v>
      </c>
      <c r="AO5" s="366"/>
      <c r="AP5" s="367"/>
    </row>
    <row r="6" spans="1:42" s="335" customFormat="1" ht="28.8">
      <c r="A6" s="460" t="s">
        <v>888</v>
      </c>
      <c r="B6" s="368" t="e">
        <f>COMPOSIÇÕES!#REF!</f>
        <v>#REF!</v>
      </c>
      <c r="C6" s="369" t="str">
        <f>COMPOSIÇÕES!C57</f>
        <v>Veneziana com tela e filtro G4</v>
      </c>
      <c r="D6" s="368" t="str">
        <f>COMPOSIÇÕES!D56</f>
        <v>UNID</v>
      </c>
      <c r="E6" s="370">
        <f>3 + 3 + 2 + 1 + 1+ 1 + 1 + 2 + 1 + 1 + 3 + 2 + 2 + 3 + 2 + 5 + 2 + 2 + 2 + 2 + 3 + 1 + 2 + 2</f>
        <v>49</v>
      </c>
      <c r="F6" s="365"/>
      <c r="G6" s="365"/>
      <c r="H6" s="365"/>
      <c r="I6" s="365">
        <v>39</v>
      </c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>
        <v>19.7</v>
      </c>
      <c r="W6" s="365">
        <v>27.83</v>
      </c>
      <c r="X6" s="365">
        <v>11.45</v>
      </c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463"/>
      <c r="AN6" s="461">
        <f t="shared" si="0"/>
        <v>23.765000000000001</v>
      </c>
      <c r="AO6" s="366"/>
      <c r="AP6" s="367"/>
    </row>
    <row r="7" spans="1:42" s="335" customFormat="1" ht="43.2">
      <c r="A7" s="460" t="s">
        <v>889</v>
      </c>
      <c r="B7" s="368" t="e">
        <f>COMPOSIÇÕES!#REF!</f>
        <v>#REF!</v>
      </c>
      <c r="C7" s="369" t="str">
        <f>COMPOSIÇÕES!C61</f>
        <v>CABO MULTIPOLAR DE COBRE, FLEXIVEL, CLASSE 4 OU 5, ISOLACAO EM HEPR, COBERTURA EM PVC-ST2, ANTICHAMA BWF-B, 0,6/1 KV, 3 CONDUTORES DE 2,5 MM2 (06 VIAS)</v>
      </c>
      <c r="D7" s="368" t="str">
        <f>COMPOSIÇÕES!D61</f>
        <v>M</v>
      </c>
      <c r="E7" s="370">
        <f>564 + 135 + 195 + 66 + 110+ 260 + 140 + 75 + 100 + 135 + 15 + 18 + 162 + 85 + 270 + 200 + 12 + 150 + 170 + 165 + 150 + 160 + 130 + 110 + 240</f>
        <v>3817</v>
      </c>
      <c r="F7" s="365">
        <v>2.08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>
        <v>9.08</v>
      </c>
      <c r="AA7" s="365">
        <v>18.7</v>
      </c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463"/>
      <c r="AN7" s="461">
        <f t="shared" si="0"/>
        <v>9.08</v>
      </c>
      <c r="AO7" s="366"/>
      <c r="AP7" s="367"/>
    </row>
    <row r="8" spans="1:42" s="335" customFormat="1" ht="28.8">
      <c r="A8" s="460" t="s">
        <v>890</v>
      </c>
      <c r="B8" s="368" t="e">
        <f>COMPOSIÇÕES!#REF!</f>
        <v>#REF!</v>
      </c>
      <c r="C8" s="371" t="e">
        <f>COMPOSIÇÕES!#REF!</f>
        <v>#REF!</v>
      </c>
      <c r="D8" s="370" t="e">
        <f>COMPOSIÇÕES!#REF!</f>
        <v>#REF!</v>
      </c>
      <c r="E8" s="370">
        <f>36 + 44 + 51 + 44 + 25+ 20 + 18 + 9 + 15 + 43 + 15 + 18 + 20 + 23 + 36 + 30 + 39 + 20 + 16 + 32 + 18 + 15 + 14 + 12 + 34</f>
        <v>647</v>
      </c>
      <c r="F8" s="365"/>
      <c r="G8" s="365"/>
      <c r="H8" s="365"/>
      <c r="I8" s="365"/>
      <c r="J8" s="365"/>
      <c r="K8" s="365"/>
      <c r="L8" s="365"/>
      <c r="M8" s="365">
        <v>107</v>
      </c>
      <c r="N8" s="365">
        <f>119.9+21.03</f>
        <v>140.93</v>
      </c>
      <c r="O8" s="365">
        <f>109.9+20.95</f>
        <v>130.85</v>
      </c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463"/>
      <c r="AN8" s="461">
        <f t="shared" si="0"/>
        <v>130.85</v>
      </c>
      <c r="AO8" s="366"/>
      <c r="AP8" s="367"/>
    </row>
    <row r="9" spans="1:42" s="335" customFormat="1" ht="28.8">
      <c r="A9" s="460" t="s">
        <v>881</v>
      </c>
      <c r="B9" s="368" t="e">
        <f>COMPOSIÇÕES!#REF!</f>
        <v>#REF!</v>
      </c>
      <c r="C9" s="369" t="str">
        <f>COMPOSIÇÕES!C32</f>
        <v>TUBO DE COBRE FLEXIVEL, D = 5/8 ", E = 0,79 MM, PARA AR-CONDICIONADO/ INSTALACOES GAS RESIDENCIAIS E COMERCIAIS</v>
      </c>
      <c r="D9" s="368" t="str">
        <f>COMPOSIÇÕES!D32</f>
        <v>M</v>
      </c>
      <c r="E9" s="370">
        <f>230 + 68 + 120 + 34 + 52+ 120 + 50 + 40 + 47 + 84 + 25 + 94 + 43 + 175 + 105 + 60 + 95 + 84 + 39 + 90 + 84 + 61 + 55 + 86</f>
        <v>1941</v>
      </c>
      <c r="F9" s="365">
        <v>34.89</v>
      </c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463"/>
      <c r="AN9" s="461">
        <f t="shared" si="0"/>
        <v>34.89</v>
      </c>
      <c r="AO9" s="366"/>
      <c r="AP9" s="367"/>
    </row>
    <row r="10" spans="1:42" s="335" customFormat="1" ht="28.8">
      <c r="A10" s="460" t="s">
        <v>882</v>
      </c>
      <c r="B10" s="368" t="e">
        <f>COMPOSIÇÕES!#REF!</f>
        <v>#REF!</v>
      </c>
      <c r="C10" s="369" t="str">
        <f>COMPOSIÇÕES!C35</f>
        <v>Tubo de cobre sem costura, rígido, espessura 1/16" ‐ diâmetro 7/8", inclusive conexões</v>
      </c>
      <c r="D10" s="368" t="str">
        <f>COMPOSIÇÕES!D35</f>
        <v>M</v>
      </c>
      <c r="E10" s="370">
        <f>5 + 3</f>
        <v>8</v>
      </c>
      <c r="F10" s="365">
        <v>63</v>
      </c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463"/>
      <c r="AN10" s="461">
        <f t="shared" si="0"/>
        <v>63</v>
      </c>
      <c r="AO10" s="366"/>
      <c r="AP10" s="367"/>
    </row>
    <row r="11" spans="1:42" s="335" customFormat="1" ht="28.8">
      <c r="A11" s="460" t="s">
        <v>883</v>
      </c>
      <c r="B11" s="368" t="e">
        <f>COMPOSIÇÕES!#REF!</f>
        <v>#REF!</v>
      </c>
      <c r="C11" s="369" t="str">
        <f>COMPOSIÇÕES!C45</f>
        <v>Grelha de insuflação de ar em alumínio anodizado, de dupla deflexão,tamanho: acima de 0,10 m² até 0,50 m²</v>
      </c>
      <c r="D11" s="368" t="str">
        <f>COMPOSIÇÕES!D44</f>
        <v>UNID.</v>
      </c>
      <c r="E11" s="370">
        <f>18 + 18 + 22 + 9 + 11+ 8 + 8 + 3 + 6 + 18 + 6 + 7 + 7 + 9 + 15 + 12 + 16 + 6 + 6 + 14 + 8 + 6 + 5 + 4 + 15</f>
        <v>257</v>
      </c>
      <c r="F11" s="365"/>
      <c r="G11" s="365"/>
      <c r="H11" s="365"/>
      <c r="I11" s="365">
        <v>175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>
        <v>114.02</v>
      </c>
      <c r="W11" s="365">
        <v>108.77</v>
      </c>
      <c r="X11" s="365">
        <v>65.88</v>
      </c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463"/>
      <c r="AN11" s="461">
        <f t="shared" si="0"/>
        <v>111.395</v>
      </c>
      <c r="AO11" s="366"/>
      <c r="AP11" s="367"/>
    </row>
    <row r="12" spans="1:42" s="335" customFormat="1" ht="28.8">
      <c r="A12" s="460" t="s">
        <v>884</v>
      </c>
      <c r="B12" s="368" t="e">
        <f>COMPOSIÇÕES!#REF!</f>
        <v>#REF!</v>
      </c>
      <c r="C12" s="369" t="str">
        <f>COMPOSIÇÕES!C47</f>
        <v>Grelha de insuflação de ar em alumínio anodizado, de dupla deflexão,tamanho: até 0,10 m²</v>
      </c>
      <c r="D12" s="368" t="str">
        <f>COMPOSIÇÕES!D46</f>
        <v>UNID.</v>
      </c>
      <c r="E12" s="370">
        <f>2 + 2 + 4 + 1 + 1+ 1 + 1 + 2 + 1 + 1 + 3 + 2 + 2 + 3 + 2 + 5 + 2 + 2 + 2 + 2 + 3 + 1 + 2 + 2</f>
        <v>49</v>
      </c>
      <c r="F12" s="365"/>
      <c r="G12" s="365"/>
      <c r="H12" s="365"/>
      <c r="I12" s="365">
        <v>45</v>
      </c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>
        <v>37.72</v>
      </c>
      <c r="W12" s="365">
        <v>53.92</v>
      </c>
      <c r="X12" s="365">
        <v>20.96</v>
      </c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463"/>
      <c r="AN12" s="461">
        <f t="shared" si="0"/>
        <v>41.36</v>
      </c>
      <c r="AO12" s="366"/>
      <c r="AP12" s="367"/>
    </row>
    <row r="13" spans="1:42" s="335" customFormat="1" ht="28.8">
      <c r="A13" s="460" t="s">
        <v>891</v>
      </c>
      <c r="B13" s="368" t="e">
        <f>COMPOSIÇÕES!#REF!</f>
        <v>#REF!</v>
      </c>
      <c r="C13" s="369" t="e">
        <f>COMPOSIÇÕES!#REF!</f>
        <v>#REF!</v>
      </c>
      <c r="D13" s="368" t="e">
        <f>COMPOSIÇÕES!#REF!</f>
        <v>#REF!</v>
      </c>
      <c r="E13" s="370">
        <f>1 + 1 + 1+ 1 + 1 + 1 + 1 + 1 + 1 + 1 + 1 + 1 + 1 + 1 + 1 + 1 + 1 + 1 + 1 + 1 + 1</f>
        <v>21</v>
      </c>
      <c r="F13" s="365"/>
      <c r="G13" s="365"/>
      <c r="H13" s="365"/>
      <c r="I13" s="365"/>
      <c r="J13" s="365"/>
      <c r="K13" s="365"/>
      <c r="L13" s="365">
        <v>4.4000000000000004</v>
      </c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>
        <v>8</v>
      </c>
      <c r="Z13" s="365"/>
      <c r="AA13" s="365"/>
      <c r="AB13" s="365">
        <v>8.9</v>
      </c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463"/>
      <c r="AN13" s="461">
        <f t="shared" si="0"/>
        <v>8</v>
      </c>
      <c r="AO13" s="366"/>
      <c r="AP13" s="367"/>
    </row>
    <row r="14" spans="1:42" s="335" customFormat="1" ht="28.8">
      <c r="A14" s="460" t="s">
        <v>892</v>
      </c>
      <c r="B14" s="368" t="e">
        <f>COMPOSIÇÕES!#REF!</f>
        <v>#REF!</v>
      </c>
      <c r="C14" s="369" t="e">
        <f>COMPOSIÇÕES!#REF!</f>
        <v>#REF!</v>
      </c>
      <c r="D14" s="368" t="e">
        <f>COMPOSIÇÕES!#REF!</f>
        <v>#REF!</v>
      </c>
      <c r="E14" s="370">
        <f>972 + 1200 + 1772 + 668 + 365+ 332 + 553 + 276 + 628 + 1500 + 506 + 260 + 490 + 370 + 1380 + 706 + 840 + 542 + 227 + 514 + 222 + 202 + 315 + 152 + 730</f>
        <v>15722</v>
      </c>
      <c r="F14" s="365">
        <v>0.15</v>
      </c>
      <c r="G14" s="365"/>
      <c r="H14" s="365"/>
      <c r="I14" s="365"/>
      <c r="J14" s="365"/>
      <c r="K14" s="365">
        <v>0.06</v>
      </c>
      <c r="L14" s="365">
        <v>0.03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>
        <v>0.08</v>
      </c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463"/>
      <c r="AN14" s="461">
        <f t="shared" si="0"/>
        <v>7.0000000000000007E-2</v>
      </c>
      <c r="AO14" s="366"/>
      <c r="AP14" s="367"/>
    </row>
    <row r="15" spans="1:42" s="335" customFormat="1" ht="28.8">
      <c r="A15" s="460" t="s">
        <v>893</v>
      </c>
      <c r="B15" s="368" t="e">
        <f>COMPOSIÇÕES!#REF!</f>
        <v>#REF!</v>
      </c>
      <c r="C15" s="369" t="e">
        <f>COMPOSIÇÕES!#REF!</f>
        <v>#REF!</v>
      </c>
      <c r="D15" s="368" t="e">
        <f>COMPOSIÇÕES!#REF!</f>
        <v>#REF!</v>
      </c>
      <c r="E15" s="370">
        <f>92 + 237 + 175 + 162 + 125+ 119 + 117 + 54 + 116 + 217 + 96 + 86 + 160 + 160 + 300 + 236 + 415 + 122 + 89 + 257 + 65 + 84 + 101 + 57 + 220</f>
        <v>3862</v>
      </c>
      <c r="F15" s="365">
        <v>0.17</v>
      </c>
      <c r="G15" s="365"/>
      <c r="H15" s="365"/>
      <c r="I15" s="365"/>
      <c r="J15" s="365"/>
      <c r="K15" s="365">
        <v>0.11</v>
      </c>
      <c r="L15" s="365">
        <v>0.06</v>
      </c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>
        <v>0.1</v>
      </c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463"/>
      <c r="AN15" s="461">
        <f t="shared" si="0"/>
        <v>0.10500000000000001</v>
      </c>
      <c r="AO15" s="366"/>
      <c r="AP15" s="367"/>
    </row>
    <row r="16" spans="1:42" s="335" customFormat="1" ht="28.8">
      <c r="A16" s="460" t="s">
        <v>894</v>
      </c>
      <c r="B16" s="368" t="e">
        <f>COMPOSIÇÕES!#REF!</f>
        <v>#REF!</v>
      </c>
      <c r="C16" s="369" t="e">
        <f>COMPOSIÇÕES!#REF!</f>
        <v>#REF!</v>
      </c>
      <c r="D16" s="368" t="e">
        <f>COMPOSIÇÕES!#REF!</f>
        <v>#REF!</v>
      </c>
      <c r="E16" s="370">
        <f>8 + 8+ 8 + 8 + 8 + 8 + 10 + 8 + 8 + 8 + 8 + 8 + 8 + 8 + 8 + 8 + 8</f>
        <v>138</v>
      </c>
      <c r="F16" s="365"/>
      <c r="G16" s="365"/>
      <c r="H16" s="365"/>
      <c r="I16" s="365"/>
      <c r="J16" s="365"/>
      <c r="K16" s="365">
        <v>0.06</v>
      </c>
      <c r="L16" s="365">
        <v>0.04</v>
      </c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>
        <v>0.08</v>
      </c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463"/>
      <c r="AN16" s="461">
        <f t="shared" si="0"/>
        <v>0.06</v>
      </c>
      <c r="AO16" s="366"/>
      <c r="AP16" s="367"/>
    </row>
    <row r="17" spans="1:42" s="335" customFormat="1" ht="28.8">
      <c r="A17" s="460" t="s">
        <v>895</v>
      </c>
      <c r="B17" s="368" t="e">
        <f>COMPOSIÇÕES!#REF!</f>
        <v>#REF!</v>
      </c>
      <c r="C17" s="369" t="e">
        <f>COMPOSIÇÕES!#REF!</f>
        <v>#REF!</v>
      </c>
      <c r="D17" s="368" t="e">
        <f>COMPOSIÇÕES!#REF!</f>
        <v>#REF!</v>
      </c>
      <c r="E17" s="370">
        <f>960 + 906 + 1558 + 492 + 295+ 262 + 462 + 216 + 560 + 1500 + 428 + 210 + 390 + 270 + 300 + 556 + 8 + 464 + 177 + 514 + 182 + 152 + 255 + 118 + 590</f>
        <v>11825</v>
      </c>
      <c r="F17" s="365">
        <v>2.06</v>
      </c>
      <c r="G17" s="365"/>
      <c r="H17" s="365"/>
      <c r="I17" s="365"/>
      <c r="J17" s="365"/>
      <c r="K17" s="365"/>
      <c r="L17" s="365">
        <v>0.03</v>
      </c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>
        <v>7.0000000000000007E-2</v>
      </c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463"/>
      <c r="AN17" s="461">
        <f t="shared" si="0"/>
        <v>7.0000000000000007E-2</v>
      </c>
      <c r="AO17" s="366"/>
      <c r="AP17" s="367"/>
    </row>
    <row r="18" spans="1:42" s="335" customFormat="1" ht="28.8">
      <c r="A18" s="460" t="s">
        <v>896</v>
      </c>
      <c r="B18" s="368" t="e">
        <f>COMPOSIÇÕES!#REF!</f>
        <v>#REF!</v>
      </c>
      <c r="C18" s="371" t="e">
        <f>COMPOSIÇÕES!#REF!</f>
        <v>#REF!</v>
      </c>
      <c r="D18" s="372" t="e">
        <f>COMPOSIÇÕES!#REF!</f>
        <v>#REF!</v>
      </c>
      <c r="E18" s="370">
        <f>39 + 6+ 13 + 7 + 19 + 4 + 7 + 12 + 12 + 50 + 50 + 15 + 8 + 16 + 28 + 11 + 6 + 14 + 5 + 28</f>
        <v>350</v>
      </c>
      <c r="F18" s="365">
        <v>0.55000000000000004</v>
      </c>
      <c r="G18" s="365"/>
      <c r="H18" s="365"/>
      <c r="I18" s="365"/>
      <c r="J18" s="365">
        <v>3.75</v>
      </c>
      <c r="K18" s="365">
        <v>0.51</v>
      </c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463"/>
      <c r="AN18" s="461">
        <f t="shared" si="0"/>
        <v>0.55000000000000004</v>
      </c>
      <c r="AO18" s="366"/>
      <c r="AP18" s="367"/>
    </row>
    <row r="19" spans="1:42" s="335" customFormat="1" ht="28.8">
      <c r="A19" s="460" t="s">
        <v>897</v>
      </c>
      <c r="B19" s="368" t="e">
        <f>COMPOSIÇÕES!#REF!</f>
        <v>#REF!</v>
      </c>
      <c r="C19" s="371" t="e">
        <f>COMPOSIÇÕES!#REF!</f>
        <v>#REF!</v>
      </c>
      <c r="D19" s="372" t="e">
        <f>COMPOSIÇÕES!#REF!</f>
        <v>#REF!</v>
      </c>
      <c r="E19" s="370">
        <f>1 + 3+ 2 + 15 + 5 + 10 + 3 + 1 + 2</f>
        <v>42</v>
      </c>
      <c r="F19" s="365">
        <v>0.76</v>
      </c>
      <c r="G19" s="365"/>
      <c r="H19" s="365"/>
      <c r="I19" s="365"/>
      <c r="J19" s="365">
        <v>4.8099999999999996</v>
      </c>
      <c r="K19" s="365">
        <v>0.75</v>
      </c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463"/>
      <c r="AN19" s="461">
        <f t="shared" si="0"/>
        <v>0.76</v>
      </c>
      <c r="AO19" s="366"/>
      <c r="AP19" s="367"/>
    </row>
    <row r="20" spans="1:42" s="335" customFormat="1" ht="28.8">
      <c r="A20" s="460" t="s">
        <v>898</v>
      </c>
      <c r="B20" s="368" t="e">
        <f>COMPOSIÇÕES!#REF!</f>
        <v>#REF!</v>
      </c>
      <c r="C20" s="371" t="e">
        <f>COMPOSIÇÕES!#REF!</f>
        <v>#REF!</v>
      </c>
      <c r="D20" s="372" t="e">
        <f>COMPOSIÇÕES!#REF!</f>
        <v>#REF!</v>
      </c>
      <c r="E20" s="370">
        <f>3 + 1 + 1</f>
        <v>5</v>
      </c>
      <c r="F20" s="365"/>
      <c r="G20" s="365"/>
      <c r="H20" s="365"/>
      <c r="I20" s="365"/>
      <c r="J20" s="365">
        <f>8.56+4.52</f>
        <v>13.08</v>
      </c>
      <c r="K20" s="365"/>
      <c r="L20" s="365">
        <v>20.399999999999999</v>
      </c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>
        <v>34.51</v>
      </c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463"/>
      <c r="AN20" s="461">
        <f t="shared" si="0"/>
        <v>20.399999999999999</v>
      </c>
      <c r="AO20" s="366"/>
      <c r="AP20" s="367"/>
    </row>
    <row r="21" spans="1:42" s="335" customFormat="1" ht="28.8">
      <c r="A21" s="460" t="s">
        <v>899</v>
      </c>
      <c r="B21" s="368" t="e">
        <f>COMPOSIÇÕES!#REF!</f>
        <v>#REF!</v>
      </c>
      <c r="C21" s="371" t="e">
        <f>COMPOSIÇÕES!#REF!</f>
        <v>#REF!</v>
      </c>
      <c r="D21" s="372" t="e">
        <f>COMPOSIÇÕES!#REF!</f>
        <v>#REF!</v>
      </c>
      <c r="E21" s="370">
        <f>1 + 2 + 5+ 1 + 3 + 2 + 2 + 1 + 2 + 7 + 5 + 1 + 4 + 4 + 1 + 2 + 9</f>
        <v>52</v>
      </c>
      <c r="F21" s="365"/>
      <c r="G21" s="365"/>
      <c r="H21" s="365"/>
      <c r="I21" s="365"/>
      <c r="J21" s="365">
        <f>12.5+7.2</f>
        <v>19.7</v>
      </c>
      <c r="K21" s="365"/>
      <c r="L21" s="365">
        <v>29.5</v>
      </c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>
        <v>13.49</v>
      </c>
      <c r="AD21" s="365"/>
      <c r="AE21" s="365"/>
      <c r="AF21" s="365"/>
      <c r="AG21" s="365"/>
      <c r="AH21" s="365"/>
      <c r="AI21" s="365"/>
      <c r="AJ21" s="365"/>
      <c r="AK21" s="365"/>
      <c r="AL21" s="365"/>
      <c r="AM21" s="463"/>
      <c r="AN21" s="461">
        <f t="shared" si="0"/>
        <v>19.7</v>
      </c>
      <c r="AO21" s="366"/>
      <c r="AP21" s="367"/>
    </row>
    <row r="22" spans="1:42" s="335" customFormat="1" ht="28.8">
      <c r="A22" s="460" t="s">
        <v>900</v>
      </c>
      <c r="B22" s="368" t="e">
        <f>COMPOSIÇÕES!#REF!</f>
        <v>#REF!</v>
      </c>
      <c r="C22" s="371" t="str">
        <f>COMPOSIÇÕES!C88</f>
        <v>CURVA 90 GRAUS, PARA ELETRODUTO, EM ACO GALVANIZADO ELETROLITICO, DIAMETRO DE 100 MM (4")</v>
      </c>
      <c r="D22" s="372" t="str">
        <f>COMPOSIÇÕES!D88</f>
        <v>UNID</v>
      </c>
      <c r="E22" s="370">
        <f>2 + 2 + 4 + 2+ 3+ 3 + 2 + 2 + 2 + 3 + 2 + 3 + 3</f>
        <v>33</v>
      </c>
      <c r="F22" s="365"/>
      <c r="G22" s="365"/>
      <c r="H22" s="365"/>
      <c r="I22" s="365"/>
      <c r="J22" s="365">
        <v>89.81</v>
      </c>
      <c r="K22" s="365">
        <v>87.22</v>
      </c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>
        <v>113.4</v>
      </c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463"/>
      <c r="AN22" s="461">
        <f t="shared" si="0"/>
        <v>89.81</v>
      </c>
      <c r="AO22" s="366"/>
      <c r="AP22" s="367"/>
    </row>
    <row r="23" spans="1:42" s="335" customFormat="1" ht="28.8">
      <c r="A23" s="460" t="s">
        <v>901</v>
      </c>
      <c r="B23" s="368" t="e">
        <f>COMPOSIÇÕES!#REF!</f>
        <v>#REF!</v>
      </c>
      <c r="C23" s="371" t="e">
        <f>COMPOSIÇÕES!#REF!</f>
        <v>#REF!</v>
      </c>
      <c r="D23" s="372" t="e">
        <f>COMPOSIÇÕES!#REF!</f>
        <v>#REF!</v>
      </c>
      <c r="E23" s="370">
        <f>16 + 13 + 12</f>
        <v>41</v>
      </c>
      <c r="F23" s="365"/>
      <c r="G23" s="365"/>
      <c r="H23" s="365"/>
      <c r="I23" s="365"/>
      <c r="J23" s="365"/>
      <c r="K23" s="365">
        <f>40</f>
        <v>40</v>
      </c>
      <c r="L23" s="365">
        <f>20.3*2</f>
        <v>40.6</v>
      </c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>
        <f>25.3*3</f>
        <v>75.900000000000006</v>
      </c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463"/>
      <c r="AN23" s="461">
        <f t="shared" si="0"/>
        <v>40.6</v>
      </c>
      <c r="AO23" s="366"/>
      <c r="AP23" s="367"/>
    </row>
    <row r="24" spans="1:42" s="335" customFormat="1" ht="28.8">
      <c r="A24" s="460" t="s">
        <v>902</v>
      </c>
      <c r="B24" s="368" t="e">
        <f>COMPOSIÇÕES!#REF!</f>
        <v>#REF!</v>
      </c>
      <c r="C24" s="371" t="e">
        <f>COMPOSIÇÕES!#REF!</f>
        <v>#REF!</v>
      </c>
      <c r="D24" s="372" t="e">
        <f>COMPOSIÇÕES!#REF!</f>
        <v>#REF!</v>
      </c>
      <c r="E24" s="370">
        <f>39 + 38 + 37 + 36 + 22+ 23 + 26 + 12 + 10 + 48 + 21 + 16 + 33 + 28 + 46 + 49 + 52 + 24 + 15 + 26 + 15 + 11 + 45</f>
        <v>672</v>
      </c>
      <c r="F24" s="365"/>
      <c r="G24" s="365"/>
      <c r="H24" s="365"/>
      <c r="I24" s="365"/>
      <c r="J24" s="365">
        <v>57</v>
      </c>
      <c r="K24" s="365">
        <f>27.3*2</f>
        <v>54.6</v>
      </c>
      <c r="L24" s="365">
        <f>28.5*2</f>
        <v>57</v>
      </c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>
        <f>29.6*3</f>
        <v>88.800000000000011</v>
      </c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463"/>
      <c r="AN24" s="461">
        <f t="shared" si="0"/>
        <v>57</v>
      </c>
      <c r="AO24" s="366"/>
      <c r="AP24" s="367"/>
    </row>
    <row r="25" spans="1:42" s="335" customFormat="1" ht="28.8">
      <c r="A25" s="460" t="s">
        <v>903</v>
      </c>
      <c r="B25" s="368" t="e">
        <f>COMPOSIÇÕES!#REF!</f>
        <v>#REF!</v>
      </c>
      <c r="C25" s="371" t="e">
        <f>COMPOSIÇÕES!#REF!</f>
        <v>#REF!</v>
      </c>
      <c r="D25" s="372" t="e">
        <f>COMPOSIÇÕES!#REF!</f>
        <v>#REF!</v>
      </c>
      <c r="E25" s="370">
        <f>159 + 59 + 17 + 23 + 46+ 42 + 9 + 16 + 36 + 44 + 9 + 30 + 32 + 45 + 34 + 34 + 75 + 31 + 30 + 50 + 34 + 40 + 35 + 32 + 53</f>
        <v>1015</v>
      </c>
      <c r="F25" s="365">
        <v>39.450000000000003</v>
      </c>
      <c r="G25" s="365"/>
      <c r="H25" s="365"/>
      <c r="I25" s="365"/>
      <c r="J25" s="365">
        <v>42.9</v>
      </c>
      <c r="K25" s="365">
        <v>47.7</v>
      </c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>
        <f>14.9*3</f>
        <v>44.7</v>
      </c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463"/>
      <c r="AN25" s="461">
        <f t="shared" si="0"/>
        <v>43.8</v>
      </c>
      <c r="AO25" s="366"/>
      <c r="AP25" s="367"/>
    </row>
    <row r="26" spans="1:42" s="335" customFormat="1" ht="28.8">
      <c r="A26" s="460" t="s">
        <v>904</v>
      </c>
      <c r="B26" s="368" t="e">
        <f>COMPOSIÇÕES!#REF!</f>
        <v>#REF!</v>
      </c>
      <c r="C26" s="371" t="e">
        <f>COMPOSIÇÕES!#REF!</f>
        <v>#REF!</v>
      </c>
      <c r="D26" s="372" t="e">
        <f>COMPOSIÇÕES!#REF!</f>
        <v>#REF!</v>
      </c>
      <c r="E26" s="370">
        <f>12 + 27 + 35 + 7 + 8 + 10 + 47 + 2 + 15 + 27 + 456 + 9 + 1 + 4 + 9</f>
        <v>669</v>
      </c>
      <c r="F26" s="365">
        <v>49.91</v>
      </c>
      <c r="G26" s="365"/>
      <c r="H26" s="365"/>
      <c r="I26" s="365"/>
      <c r="J26" s="365">
        <v>65.23</v>
      </c>
      <c r="K26" s="365">
        <v>62.3</v>
      </c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>
        <f>19.85*3</f>
        <v>59.550000000000004</v>
      </c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463"/>
      <c r="AN26" s="461">
        <f t="shared" si="0"/>
        <v>60.924999999999997</v>
      </c>
      <c r="AO26" s="366"/>
      <c r="AP26" s="367"/>
    </row>
    <row r="27" spans="1:42" s="335" customFormat="1" ht="28.8">
      <c r="A27" s="460" t="s">
        <v>905</v>
      </c>
      <c r="B27" s="368" t="e">
        <f>COMPOSIÇÕES!#REF!</f>
        <v>#REF!</v>
      </c>
      <c r="C27" s="371" t="e">
        <f>COMPOSIÇÕES!#REF!</f>
        <v>#REF!</v>
      </c>
      <c r="D27" s="372" t="e">
        <f>COMPOSIÇÕES!#REF!</f>
        <v>#REF!</v>
      </c>
      <c r="E27" s="370">
        <f>110 + 105 + 136 + 72 + 70+ 58 + 52 + 24 + 70 + 152 + 42 + 48 + 90 + 66 + 90 + 114 + 135 + 58 + 34 + 64 + 38 + 34 + 56 + 26 + 138</f>
        <v>1882</v>
      </c>
      <c r="F27" s="365"/>
      <c r="G27" s="365"/>
      <c r="H27" s="365"/>
      <c r="I27" s="365"/>
      <c r="J27" s="365">
        <v>0.68</v>
      </c>
      <c r="K27" s="365">
        <v>0.56999999999999995</v>
      </c>
      <c r="L27" s="365">
        <v>1.8</v>
      </c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>
        <v>3.3</v>
      </c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463"/>
      <c r="AN27" s="461">
        <f t="shared" si="0"/>
        <v>1.2400000000000002</v>
      </c>
      <c r="AO27" s="366"/>
      <c r="AP27" s="367"/>
    </row>
    <row r="28" spans="1:42" s="335" customFormat="1" ht="28.8">
      <c r="A28" s="460" t="s">
        <v>906</v>
      </c>
      <c r="B28" s="368" t="e">
        <f>COMPOSIÇÕES!#REF!</f>
        <v>#REF!</v>
      </c>
      <c r="C28" s="371" t="e">
        <f>COMPOSIÇÕES!#REF!</f>
        <v>#REF!</v>
      </c>
      <c r="D28" s="372" t="e">
        <f>COMPOSIÇÕES!#REF!</f>
        <v>#REF!</v>
      </c>
      <c r="E28" s="370">
        <f>28 + 79 + 57 + 54 + 35+ 35 + 39 + 18 + 34 + 73 + 32 + 25 + 50 + 50 + 77 + 74 + 135 + 36 + 25 + 52 + 17 + 23 + 30 + 17 + 70</f>
        <v>1165</v>
      </c>
      <c r="F28" s="365">
        <v>5.54</v>
      </c>
      <c r="G28" s="365"/>
      <c r="H28" s="365"/>
      <c r="I28" s="365"/>
      <c r="J28" s="365">
        <v>6.79</v>
      </c>
      <c r="K28" s="365">
        <v>12.6</v>
      </c>
      <c r="L28" s="365">
        <v>5.8</v>
      </c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>
        <v>11.65</v>
      </c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463"/>
      <c r="AN28" s="461">
        <f t="shared" si="0"/>
        <v>6.79</v>
      </c>
      <c r="AO28" s="366"/>
      <c r="AP28" s="367"/>
    </row>
    <row r="29" spans="1:42" s="335" customFormat="1" ht="28.8">
      <c r="A29" s="460" t="s">
        <v>907</v>
      </c>
      <c r="B29" s="368" t="e">
        <f>COMPOSIÇÕES!#REF!</f>
        <v>#REF!</v>
      </c>
      <c r="C29" s="371" t="e">
        <f>COMPOSIÇÕES!#REF!</f>
        <v>#REF!</v>
      </c>
      <c r="D29" s="372" t="e">
        <f>COMPOSIÇÕES!#REF!</f>
        <v>#REF!</v>
      </c>
      <c r="E29" s="370">
        <f>960 + 906 + 1558 + 492 + 295+ 262 + 462 + 216 + 560 + 1200 + 428 + 210 + 390 + 270 + 1300 + 456 + 570 + 464 + 177 + 514 + 182 + 152 + 255 + 118 + 590</f>
        <v>12987</v>
      </c>
      <c r="F29" s="365"/>
      <c r="G29" s="365"/>
      <c r="H29" s="365"/>
      <c r="I29" s="365"/>
      <c r="J29" s="365"/>
      <c r="K29" s="365"/>
      <c r="L29" s="365">
        <v>0.17</v>
      </c>
      <c r="M29" s="365"/>
      <c r="N29" s="365"/>
      <c r="O29" s="365"/>
      <c r="P29" s="365">
        <v>0.16</v>
      </c>
      <c r="Q29" s="365"/>
      <c r="R29" s="365"/>
      <c r="S29" s="365"/>
      <c r="T29" s="365"/>
      <c r="U29" s="365"/>
      <c r="V29" s="365"/>
      <c r="W29" s="365"/>
      <c r="X29" s="365"/>
      <c r="Y29" s="365">
        <v>0.19</v>
      </c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463"/>
      <c r="AN29" s="461">
        <f t="shared" si="0"/>
        <v>0.17</v>
      </c>
      <c r="AO29" s="366"/>
      <c r="AP29" s="367"/>
    </row>
    <row r="30" spans="1:42" s="335" customFormat="1" ht="28.8">
      <c r="A30" s="460" t="s">
        <v>908</v>
      </c>
      <c r="B30" s="368" t="e">
        <f>COMPOSIÇÕES!#REF!</f>
        <v>#REF!</v>
      </c>
      <c r="C30" s="371" t="e">
        <f>COMPOSIÇÕES!#REF!</f>
        <v>#REF!</v>
      </c>
      <c r="D30" s="372" t="e">
        <f>COMPOSIÇÕES!#REF!</f>
        <v>#REF!</v>
      </c>
      <c r="E30" s="370">
        <f>12 + 158 + 114 + 108 + 70+ 70 + 78 + 36 + 68 + 150 + 64 + 50 + 100 + 100 + 160 + 150 + 270 + 78 + 50 + 40 + 50 + 60 + 34 + 140</f>
        <v>2210</v>
      </c>
      <c r="F30" s="365"/>
      <c r="G30" s="365"/>
      <c r="H30" s="365"/>
      <c r="I30" s="365"/>
      <c r="J30" s="365"/>
      <c r="K30" s="365"/>
      <c r="L30" s="365">
        <v>0.26</v>
      </c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>
        <v>0.3</v>
      </c>
      <c r="Z30" s="365"/>
      <c r="AA30" s="365"/>
      <c r="AB30" s="365"/>
      <c r="AC30" s="365"/>
      <c r="AD30" s="365"/>
      <c r="AE30" s="365"/>
      <c r="AF30" s="365"/>
      <c r="AG30" s="365"/>
      <c r="AH30" s="365"/>
      <c r="AI30" s="365">
        <v>0.28999999999999998</v>
      </c>
      <c r="AJ30" s="365"/>
      <c r="AK30" s="365"/>
      <c r="AL30" s="365"/>
      <c r="AM30" s="463"/>
      <c r="AN30" s="461">
        <f t="shared" si="0"/>
        <v>0.28999999999999998</v>
      </c>
      <c r="AO30" s="366"/>
      <c r="AP30" s="367"/>
    </row>
    <row r="31" spans="1:42" s="335" customFormat="1" ht="28.8">
      <c r="A31" s="460" t="s">
        <v>909</v>
      </c>
      <c r="B31" s="368" t="e">
        <f>COMPOSIÇÕES!#REF!</f>
        <v>#REF!</v>
      </c>
      <c r="C31" s="371" t="e">
        <f>COMPOSIÇÕES!#REF!</f>
        <v>#REF!</v>
      </c>
      <c r="D31" s="372" t="e">
        <f>COMPOSIÇÕES!#REF!</f>
        <v>#REF!</v>
      </c>
      <c r="E31" s="370">
        <f>8 + 8+ 8 + 8 + 8 + 8 + 10 + 8 + 8 + 8 + 8 + 8 + 8 + 8 + 8 + 8</f>
        <v>130</v>
      </c>
      <c r="F31" s="365"/>
      <c r="G31" s="365"/>
      <c r="H31" s="365"/>
      <c r="I31" s="365"/>
      <c r="J31" s="365">
        <v>0.15</v>
      </c>
      <c r="K31" s="365"/>
      <c r="L31" s="365">
        <v>0.25</v>
      </c>
      <c r="M31" s="365"/>
      <c r="N31" s="365"/>
      <c r="O31" s="365"/>
      <c r="P31" s="365">
        <v>0.16</v>
      </c>
      <c r="Q31" s="365"/>
      <c r="R31" s="365"/>
      <c r="S31" s="365"/>
      <c r="T31" s="365"/>
      <c r="U31" s="365"/>
      <c r="V31" s="365"/>
      <c r="W31" s="365"/>
      <c r="X31" s="365"/>
      <c r="Y31" s="365">
        <v>0.28000000000000003</v>
      </c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463"/>
      <c r="AN31" s="461">
        <f t="shared" si="0"/>
        <v>0.20500000000000002</v>
      </c>
      <c r="AO31" s="366"/>
      <c r="AP31" s="367"/>
    </row>
    <row r="32" spans="1:42" s="335" customFormat="1" ht="28.8">
      <c r="A32" s="460" t="s">
        <v>910</v>
      </c>
      <c r="B32" s="368" t="e">
        <f>COMPOSIÇÕES!#REF!</f>
        <v>#REF!</v>
      </c>
      <c r="C32" s="371" t="e">
        <f>COMPOSIÇÕES!#REF!</f>
        <v>#REF!</v>
      </c>
      <c r="D32" s="372" t="e">
        <f>COMPOSIÇÕES!#REF!</f>
        <v>#REF!</v>
      </c>
      <c r="E32" s="370">
        <f>4 + 237 + 162 + 10+ 6 + 117 + 54 + 6 + 217 + 95 + 6 + 10 + 10 + 300 + 6 + 10 + 6 + 6 + 6 + 6 + 6 + 6 + 6 + 10</f>
        <v>1302</v>
      </c>
      <c r="F32" s="365"/>
      <c r="G32" s="365"/>
      <c r="H32" s="365"/>
      <c r="I32" s="365"/>
      <c r="J32" s="365">
        <v>0.28999999999999998</v>
      </c>
      <c r="K32" s="365"/>
      <c r="L32" s="365">
        <v>0.53</v>
      </c>
      <c r="M32" s="365"/>
      <c r="N32" s="365"/>
      <c r="O32" s="365"/>
      <c r="P32" s="365">
        <v>0.28000000000000003</v>
      </c>
      <c r="Q32" s="365"/>
      <c r="R32" s="365"/>
      <c r="S32" s="365"/>
      <c r="T32" s="365"/>
      <c r="U32" s="365"/>
      <c r="V32" s="365"/>
      <c r="W32" s="365"/>
      <c r="X32" s="365"/>
      <c r="Y32" s="365">
        <v>0.5</v>
      </c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463"/>
      <c r="AN32" s="461">
        <f t="shared" si="0"/>
        <v>0.39500000000000002</v>
      </c>
      <c r="AO32" s="366"/>
      <c r="AP32" s="367"/>
    </row>
    <row r="33" spans="1:42" s="335" customFormat="1" ht="28.8">
      <c r="A33" s="460" t="s">
        <v>911</v>
      </c>
      <c r="B33" s="368" t="e">
        <f>COMPOSIÇÕES!#REF!</f>
        <v>#REF!</v>
      </c>
      <c r="C33" s="371" t="e">
        <f>COMPOSIÇÕES!#REF!</f>
        <v>#REF!</v>
      </c>
      <c r="D33" s="372" t="e">
        <f>COMPOSIÇÕES!#REF!</f>
        <v>#REF!</v>
      </c>
      <c r="E33" s="370">
        <f>88 + 175 + 110+ 109 + 106 + 80 + 150 + 150 + 226 + 405 + 116 + 79 + 160 + 55 + 74 + 51 + 210</f>
        <v>2344</v>
      </c>
      <c r="F33" s="365"/>
      <c r="G33" s="365"/>
      <c r="H33" s="365"/>
      <c r="I33" s="365"/>
      <c r="J33" s="365">
        <v>0.44</v>
      </c>
      <c r="K33" s="365"/>
      <c r="L33" s="365">
        <v>0.79</v>
      </c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>
        <v>0.7</v>
      </c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463"/>
      <c r="AN33" s="461">
        <f t="shared" si="0"/>
        <v>0.7</v>
      </c>
      <c r="AO33" s="366"/>
      <c r="AP33" s="367"/>
    </row>
    <row r="34" spans="1:42" s="335" customFormat="1" ht="28.8">
      <c r="A34" s="460" t="s">
        <v>912</v>
      </c>
      <c r="B34" s="368" t="e">
        <f>COMPOSIÇÕES!#REF!</f>
        <v>#REF!</v>
      </c>
      <c r="C34" s="371" t="e">
        <f>COMPOSIÇÕES!#REF!</f>
        <v>#REF!</v>
      </c>
      <c r="D34" s="372" t="e">
        <f>COMPOSIÇÕES!#REF!</f>
        <v>#REF!</v>
      </c>
      <c r="E34" s="370">
        <f>80 + 135 + 100 + 50 + 100+ 84 + 13 + 24 + 69 + 300 + 14 + 75 + 75 + 115 + 55 + 150 + 67 + 54 + 94 + 82 + 65 + 58 + 53 + 90</f>
        <v>2002</v>
      </c>
      <c r="F34" s="365">
        <v>0.17</v>
      </c>
      <c r="G34" s="365"/>
      <c r="H34" s="365"/>
      <c r="I34" s="365"/>
      <c r="J34" s="365"/>
      <c r="K34" s="365">
        <v>0.14000000000000001</v>
      </c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>
        <v>1.82</v>
      </c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463"/>
      <c r="AN34" s="461">
        <f t="shared" si="0"/>
        <v>0.17</v>
      </c>
      <c r="AO34" s="366"/>
      <c r="AP34" s="367"/>
    </row>
    <row r="35" spans="1:42" s="335" customFormat="1" ht="28.8">
      <c r="A35" s="460" t="s">
        <v>913</v>
      </c>
      <c r="B35" s="368" t="e">
        <f>COMPOSIÇÕES!#REF!</f>
        <v>#REF!</v>
      </c>
      <c r="C35" s="371" t="e">
        <f>COMPOSIÇÕES!#REF!</f>
        <v>#REF!</v>
      </c>
      <c r="D35" s="372" t="e">
        <f>COMPOSIÇÕES!#REF!</f>
        <v>#REF!</v>
      </c>
      <c r="E35" s="370">
        <f>12 + 158 + 114 + 108 + 70+ 70+ 78+ 36 + 68+ 150+ 64 + 50 + 110 + 100+ 160 + 150 + 270 + 78 + 85 + 104 + 40 + 50 + 60 + 34 + 700</f>
        <v>2919</v>
      </c>
      <c r="F35" s="365">
        <v>1.24</v>
      </c>
      <c r="G35" s="365"/>
      <c r="H35" s="365"/>
      <c r="I35" s="365"/>
      <c r="J35" s="365">
        <v>0.6</v>
      </c>
      <c r="K35" s="365">
        <v>1</v>
      </c>
      <c r="L35" s="365">
        <v>0.68</v>
      </c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>
        <v>1.26</v>
      </c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463"/>
      <c r="AN35" s="461">
        <f t="shared" si="0"/>
        <v>1</v>
      </c>
      <c r="AO35" s="366"/>
      <c r="AP35" s="367"/>
    </row>
    <row r="36" spans="1:42" s="335" customFormat="1" ht="28.8">
      <c r="A36" s="460" t="s">
        <v>914</v>
      </c>
      <c r="B36" s="368" t="e">
        <f>COMPOSIÇÕES!#REF!</f>
        <v>#REF!</v>
      </c>
      <c r="C36" s="371" t="e">
        <f>COMPOSIÇÕES!#REF!</f>
        <v>#REF!</v>
      </c>
      <c r="D36" s="372" t="e">
        <f>COMPOSIÇÕES!#REF!</f>
        <v>#REF!</v>
      </c>
      <c r="E36" s="370">
        <f>960 + 906 + 1558 + 492 + 295+ 262+ 462+ 216 + 560+ 1200+ 428 + 210 + 490 + 270+ 1300 + 556 + 570 + 464 + 142 + 542 + 182 + 152 + 255 + 118 + 30</f>
        <v>12620</v>
      </c>
      <c r="F36" s="365">
        <v>0.06</v>
      </c>
      <c r="G36" s="365"/>
      <c r="H36" s="365"/>
      <c r="I36" s="365"/>
      <c r="J36" s="365">
        <v>0.05</v>
      </c>
      <c r="K36" s="365">
        <v>0.06</v>
      </c>
      <c r="L36" s="365">
        <v>0.06</v>
      </c>
      <c r="M36" s="365"/>
      <c r="N36" s="365"/>
      <c r="O36" s="365"/>
      <c r="P36" s="365">
        <v>0.04</v>
      </c>
      <c r="Q36" s="365"/>
      <c r="R36" s="365"/>
      <c r="S36" s="365"/>
      <c r="T36" s="365"/>
      <c r="U36" s="365"/>
      <c r="V36" s="365"/>
      <c r="W36" s="365"/>
      <c r="X36" s="365"/>
      <c r="Y36" s="365">
        <v>7.0000000000000007E-2</v>
      </c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463"/>
      <c r="AN36" s="461">
        <f t="shared" si="0"/>
        <v>0.06</v>
      </c>
      <c r="AO36" s="366"/>
      <c r="AP36" s="367"/>
    </row>
    <row r="37" spans="1:42" s="335" customFormat="1" ht="28.8">
      <c r="A37" s="460" t="s">
        <v>915</v>
      </c>
      <c r="B37" s="368" t="e">
        <f>COMPOSIÇÕES!#REF!</f>
        <v>#REF!</v>
      </c>
      <c r="C37" s="371" t="e">
        <f>COMPOSIÇÕES!#REF!</f>
        <v>#REF!</v>
      </c>
      <c r="D37" s="372" t="e">
        <f>COMPOSIÇÕES!#REF!</f>
        <v>#REF!</v>
      </c>
      <c r="E37" s="370">
        <f>8 + 8+ 8 + 8 + 8 + 8 + 10 + 8 + 8 + 8 + 8 + 8 + 8 + 8 + 8 + 8 + 8</f>
        <v>138</v>
      </c>
      <c r="F37" s="365"/>
      <c r="G37" s="365"/>
      <c r="H37" s="365"/>
      <c r="I37" s="365"/>
      <c r="J37" s="365">
        <v>7.0000000000000007E-2</v>
      </c>
      <c r="K37" s="365">
        <v>0.09</v>
      </c>
      <c r="L37" s="365">
        <v>0.09</v>
      </c>
      <c r="M37" s="365"/>
      <c r="N37" s="365"/>
      <c r="O37" s="365"/>
      <c r="P37" s="365">
        <v>0.05</v>
      </c>
      <c r="Q37" s="365"/>
      <c r="R37" s="365"/>
      <c r="S37" s="365"/>
      <c r="T37" s="365"/>
      <c r="U37" s="365"/>
      <c r="V37" s="365"/>
      <c r="W37" s="365"/>
      <c r="X37" s="365"/>
      <c r="Y37" s="365">
        <v>0.1</v>
      </c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463"/>
      <c r="AN37" s="461">
        <f t="shared" si="0"/>
        <v>0.09</v>
      </c>
      <c r="AO37" s="366"/>
      <c r="AP37" s="367"/>
    </row>
    <row r="38" spans="1:42" s="335" customFormat="1" ht="28.8">
      <c r="A38" s="460" t="s">
        <v>916</v>
      </c>
      <c r="B38" s="368" t="e">
        <f>COMPOSIÇÕES!#REF!</f>
        <v>#REF!</v>
      </c>
      <c r="C38" s="371" t="e">
        <f>COMPOSIÇÕES!#REF!</f>
        <v>#REF!</v>
      </c>
      <c r="D38" s="372" t="e">
        <f>COMPOSIÇÕES!#REF!</f>
        <v>#REF!</v>
      </c>
      <c r="E38" s="370">
        <f>52 + 88 + 50 + 44 + 25+ 20+ 36+ 18 + 15+ 30 + 20 + 30 + 20 + 16 + 32 + 18 + 15 + 14 + 12 + 30</f>
        <v>585</v>
      </c>
      <c r="F38" s="365"/>
      <c r="G38" s="365"/>
      <c r="H38" s="365"/>
      <c r="I38" s="365"/>
      <c r="J38" s="365"/>
      <c r="K38" s="365">
        <v>2.9</v>
      </c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>
        <v>1.7</v>
      </c>
      <c r="Z38" s="365"/>
      <c r="AA38" s="365"/>
      <c r="AB38" s="365">
        <v>2.9</v>
      </c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463"/>
      <c r="AN38" s="461">
        <f t="shared" si="0"/>
        <v>2.9</v>
      </c>
      <c r="AO38" s="366"/>
      <c r="AP38" s="367"/>
    </row>
    <row r="39" spans="1:42" s="335" customFormat="1" ht="28.8">
      <c r="A39" s="460" t="s">
        <v>917</v>
      </c>
      <c r="B39" s="368" t="e">
        <f>COMPOSIÇÕES!#REF!</f>
        <v>#REF!</v>
      </c>
      <c r="C39" s="371" t="e">
        <f>COMPOSIÇÕES!#REF!</f>
        <v>#REF!</v>
      </c>
      <c r="D39" s="372" t="e">
        <f>COMPOSIÇÕES!#REF!</f>
        <v>#REF!</v>
      </c>
      <c r="E39" s="370">
        <f>34 + 18 + 10 + 10 + 2+ 5+ 7+ 4 + 5+ 18+ 8 + 4 + 5 + 8 + 8 + 18 + 9 + 8 + 4 + 14 + 6 + 6 + 8 + 5 + 8</f>
        <v>232</v>
      </c>
      <c r="F39" s="365"/>
      <c r="G39" s="365"/>
      <c r="H39" s="365"/>
      <c r="I39" s="365"/>
      <c r="J39" s="365">
        <v>1.28</v>
      </c>
      <c r="K39" s="365">
        <v>1.45</v>
      </c>
      <c r="L39" s="365">
        <v>0.9</v>
      </c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>
        <v>1.65</v>
      </c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463"/>
      <c r="AN39" s="461">
        <f t="shared" si="0"/>
        <v>1.365</v>
      </c>
      <c r="AO39" s="366"/>
      <c r="AP39" s="367"/>
    </row>
    <row r="40" spans="1:42" s="335" customFormat="1" ht="28.8">
      <c r="A40" s="460" t="s">
        <v>918</v>
      </c>
      <c r="B40" s="368" t="e">
        <f>COMPOSIÇÕES!#REF!</f>
        <v>#REF!</v>
      </c>
      <c r="C40" s="371" t="e">
        <f>COMPOSIÇÕES!#REF!</f>
        <v>#REF!</v>
      </c>
      <c r="D40" s="372" t="e">
        <f>COMPOSIÇÕES!#REF!</f>
        <v>#REF!</v>
      </c>
      <c r="E40" s="370">
        <f>1 + 2 + 1 + 13 + 3 + 2+ 15 + 5 + 7 + 3 + 1 + 2</f>
        <v>55</v>
      </c>
      <c r="F40" s="365"/>
      <c r="G40" s="365"/>
      <c r="H40" s="365"/>
      <c r="I40" s="365"/>
      <c r="J40" s="365">
        <v>1.35</v>
      </c>
      <c r="K40" s="365">
        <v>1.4</v>
      </c>
      <c r="L40" s="365">
        <v>1</v>
      </c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>
        <v>1.82</v>
      </c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463"/>
      <c r="AN40" s="461">
        <f t="shared" si="0"/>
        <v>1.375</v>
      </c>
      <c r="AO40" s="366"/>
      <c r="AP40" s="367"/>
    </row>
    <row r="41" spans="1:42" s="335" customFormat="1" ht="28.8">
      <c r="A41" s="460" t="s">
        <v>919</v>
      </c>
      <c r="B41" s="368" t="e">
        <f>COMPOSIÇÕES!#REF!</f>
        <v>#REF!</v>
      </c>
      <c r="C41" s="371" t="e">
        <f>COMPOSIÇÕES!#REF!</f>
        <v>#REF!</v>
      </c>
      <c r="D41" s="372" t="e">
        <f>COMPOSIÇÕES!#REF!</f>
        <v>#REF!</v>
      </c>
      <c r="E41" s="370">
        <f>5 + 12 + 20 + 7 + 4+ 8+ 17+ 8 + 1+ 15 + 0 + 2 + 4 + 32 + 4 + 12 + 14 + 5 + 6 + 20</f>
        <v>196</v>
      </c>
      <c r="F41" s="365"/>
      <c r="G41" s="365"/>
      <c r="H41" s="365"/>
      <c r="I41" s="365"/>
      <c r="J41" s="365">
        <v>1.28</v>
      </c>
      <c r="K41" s="365"/>
      <c r="L41" s="365">
        <v>0.9</v>
      </c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>
        <v>1.45</v>
      </c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463"/>
      <c r="AN41" s="461">
        <f t="shared" si="0"/>
        <v>1.28</v>
      </c>
      <c r="AO41" s="366"/>
      <c r="AP41" s="367"/>
    </row>
    <row r="42" spans="1:42" s="335" customFormat="1" ht="28.8">
      <c r="A42" s="460" t="s">
        <v>920</v>
      </c>
      <c r="B42" s="368" t="e">
        <f>COMPOSIÇÕES!#REF!</f>
        <v>#REF!</v>
      </c>
      <c r="C42" s="371" t="e">
        <f>COMPOSIÇÕES!#REF!</f>
        <v>#REF!</v>
      </c>
      <c r="D42" s="372" t="e">
        <f>COMPOSIÇÕES!#REF!</f>
        <v>#REF!</v>
      </c>
      <c r="E42" s="370">
        <f>1 + 1+ 1 + 1 + 1 + 1 + 1 + 68 + 1 + 1 + 1 + 1 + 1 + 1 + 1</f>
        <v>82</v>
      </c>
      <c r="F42" s="365"/>
      <c r="G42" s="365"/>
      <c r="H42" s="365"/>
      <c r="I42" s="365"/>
      <c r="J42" s="365">
        <f>37.4+6.59</f>
        <v>43.989999999999995</v>
      </c>
      <c r="K42" s="365"/>
      <c r="L42" s="365">
        <v>48.5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>
        <v>77.2</v>
      </c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463"/>
      <c r="AN42" s="461">
        <f t="shared" si="0"/>
        <v>48.5</v>
      </c>
      <c r="AO42" s="366"/>
      <c r="AP42" s="367"/>
    </row>
    <row r="43" spans="1:42" s="335" customFormat="1" ht="28.8">
      <c r="A43" s="460" t="s">
        <v>921</v>
      </c>
      <c r="B43" s="368" t="e">
        <f>COMPOSIÇÕES!#REF!</f>
        <v>#REF!</v>
      </c>
      <c r="C43" s="371" t="e">
        <f>COMPOSIÇÕES!#REF!</f>
        <v>#REF!</v>
      </c>
      <c r="D43" s="372" t="e">
        <f>COMPOSIÇÕES!#REF!</f>
        <v>#REF!</v>
      </c>
      <c r="E43" s="370">
        <f>39 + 30 + 30 + 17 + 6+ 13+ 24 + 12 + 7+ 19 + 4 + 7 + 12 + 10 + 50 + 15 + 8 + 16 + 28 + 11 + 6 + 14 + 5 + 28</f>
        <v>411</v>
      </c>
      <c r="F43" s="365">
        <v>1.06</v>
      </c>
      <c r="G43" s="365"/>
      <c r="H43" s="365"/>
      <c r="I43" s="365"/>
      <c r="J43" s="365">
        <v>5.34</v>
      </c>
      <c r="K43" s="365">
        <v>1.08</v>
      </c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>
        <v>5.58</v>
      </c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463"/>
      <c r="AN43" s="461">
        <f t="shared" si="0"/>
        <v>3.21</v>
      </c>
      <c r="AO43" s="366"/>
      <c r="AP43" s="367"/>
    </row>
    <row r="44" spans="1:42" s="335" customFormat="1" ht="28.8">
      <c r="A44" s="460" t="s">
        <v>922</v>
      </c>
      <c r="B44" s="368" t="e">
        <f>COMPOSIÇÕES!#REF!</f>
        <v>#REF!</v>
      </c>
      <c r="C44" s="371" t="e">
        <f>COMPOSIÇÕES!#REF!</f>
        <v>#REF!</v>
      </c>
      <c r="D44" s="372" t="e">
        <f>COMPOSIÇÕES!#REF!</f>
        <v>#REF!</v>
      </c>
      <c r="E44" s="370">
        <f>1 + 2 + 1 + 13 + 3 + 2+ 15 + 5 + 10 + 3 + 1 + 1 + 2</f>
        <v>59</v>
      </c>
      <c r="F44" s="365">
        <v>1.24</v>
      </c>
      <c r="G44" s="365"/>
      <c r="H44" s="365"/>
      <c r="I44" s="365"/>
      <c r="J44" s="365">
        <v>8.5</v>
      </c>
      <c r="K44" s="365">
        <v>1.55</v>
      </c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>
        <v>9.6199999999999992</v>
      </c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463"/>
      <c r="AN44" s="461">
        <f t="shared" si="0"/>
        <v>5.0250000000000004</v>
      </c>
      <c r="AO44" s="366"/>
      <c r="AP44" s="367"/>
    </row>
    <row r="45" spans="1:42" s="335" customFormat="1" ht="28.8">
      <c r="A45" s="460" t="s">
        <v>923</v>
      </c>
      <c r="B45" s="368" t="e">
        <f>COMPOSIÇÕES!#REF!</f>
        <v>#REF!</v>
      </c>
      <c r="C45" s="371" t="e">
        <f>COMPOSIÇÕES!#REF!</f>
        <v>#REF!</v>
      </c>
      <c r="D45" s="372" t="e">
        <f>COMPOSIÇÕES!#REF!</f>
        <v>#REF!</v>
      </c>
      <c r="E45" s="370">
        <f>1 + 118 + 34 + 46 + 46+ 16 + 32+ 140+ 16 + 32 + 45 + 68 + 75</f>
        <v>669</v>
      </c>
      <c r="F45" s="365">
        <v>1.71</v>
      </c>
      <c r="G45" s="365"/>
      <c r="H45" s="365"/>
      <c r="I45" s="365"/>
      <c r="J45" s="365">
        <v>7.71</v>
      </c>
      <c r="K45" s="365">
        <v>1.26</v>
      </c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>
        <v>7.35</v>
      </c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463"/>
      <c r="AN45" s="461">
        <f t="shared" si="0"/>
        <v>4.5299999999999994</v>
      </c>
      <c r="AO45" s="366"/>
      <c r="AP45" s="367"/>
    </row>
    <row r="46" spans="1:42" s="335" customFormat="1" ht="28.8">
      <c r="A46" s="460" t="s">
        <v>924</v>
      </c>
      <c r="B46" s="368" t="e">
        <f>COMPOSIÇÕES!#REF!</f>
        <v>#REF!</v>
      </c>
      <c r="C46" s="371" t="e">
        <f>COMPOSIÇÕES!#REF!</f>
        <v>#REF!</v>
      </c>
      <c r="D46" s="372" t="e">
        <f>COMPOSIÇÕES!#REF!</f>
        <v>#REF!</v>
      </c>
      <c r="E46" s="370">
        <f>1 + 54 + 70 + 14 + 8+ 142 + 2 + 15 + 40 + 4</f>
        <v>350</v>
      </c>
      <c r="F46" s="365">
        <v>1.57</v>
      </c>
      <c r="G46" s="365"/>
      <c r="H46" s="365"/>
      <c r="I46" s="365"/>
      <c r="J46" s="365">
        <v>9.8699999999999992</v>
      </c>
      <c r="K46" s="365">
        <v>1.8</v>
      </c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>
        <v>9.24</v>
      </c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463"/>
      <c r="AN46" s="461">
        <f t="shared" si="0"/>
        <v>5.5200000000000005</v>
      </c>
      <c r="AO46" s="366"/>
      <c r="AP46" s="367"/>
    </row>
    <row r="47" spans="1:42" s="335" customFormat="1" ht="28.8">
      <c r="A47" s="460" t="s">
        <v>925</v>
      </c>
      <c r="B47" s="368" t="e">
        <f>COMPOSIÇÕES!#REF!</f>
        <v>#REF!</v>
      </c>
      <c r="C47" s="371" t="e">
        <f>COMPOSIÇÕES!#REF!</f>
        <v>#REF!</v>
      </c>
      <c r="D47" s="372" t="e">
        <f>COMPOSIÇÕES!#REF!</f>
        <v>#REF!</v>
      </c>
      <c r="E47" s="370">
        <f>1 + 2 + 24 + 3+ 2 + 3 + 2 + 4</f>
        <v>41</v>
      </c>
      <c r="F47" s="365">
        <v>32.53</v>
      </c>
      <c r="G47" s="365"/>
      <c r="H47" s="365"/>
      <c r="I47" s="365"/>
      <c r="J47" s="365">
        <v>146.63999999999999</v>
      </c>
      <c r="K47" s="365">
        <v>33.450000000000003</v>
      </c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>
        <v>112.05</v>
      </c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463"/>
      <c r="AN47" s="461">
        <f t="shared" si="0"/>
        <v>72.75</v>
      </c>
      <c r="AO47" s="366"/>
      <c r="AP47" s="367"/>
    </row>
    <row r="48" spans="1:42" s="335" customFormat="1" ht="28.8">
      <c r="A48" s="460" t="s">
        <v>926</v>
      </c>
      <c r="B48" s="368" t="e">
        <f>COMPOSIÇÕES!#REF!</f>
        <v>#REF!</v>
      </c>
      <c r="C48" s="371" t="e">
        <f>COMPOSIÇÕES!#REF!</f>
        <v>#REF!</v>
      </c>
      <c r="D48" s="372" t="e">
        <f>COMPOSIÇÕES!#REF!</f>
        <v>#REF!</v>
      </c>
      <c r="E48" s="370">
        <f>16 + 6+ 24+ 8+ 16 + 15 + 32 + 22 + 24 + 8 + 12 + 25 + 12 + 32 + 28 + 12 + 16 + 28 + 24 + 28 + 12</f>
        <v>400</v>
      </c>
      <c r="F48" s="365"/>
      <c r="G48" s="365"/>
      <c r="H48" s="365"/>
      <c r="I48" s="365"/>
      <c r="J48" s="365">
        <v>0.18</v>
      </c>
      <c r="K48" s="365">
        <v>0.25</v>
      </c>
      <c r="L48" s="365">
        <v>0.28999999999999998</v>
      </c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>
        <v>0.24</v>
      </c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463"/>
      <c r="AN48" s="461">
        <f t="shared" si="0"/>
        <v>0.245</v>
      </c>
      <c r="AO48" s="366"/>
      <c r="AP48" s="367"/>
    </row>
    <row r="49" spans="1:42" s="335" customFormat="1" ht="28.8">
      <c r="A49" s="460" t="s">
        <v>927</v>
      </c>
      <c r="B49" s="368" t="e">
        <f>COMPOSIÇÕES!#REF!</f>
        <v>#REF!</v>
      </c>
      <c r="C49" s="371" t="e">
        <f>COMPOSIÇÕES!#REF!</f>
        <v>#REF!</v>
      </c>
      <c r="D49" s="372" t="e">
        <f>COMPOSIÇÕES!#REF!</f>
        <v>#REF!</v>
      </c>
      <c r="E49" s="370">
        <f>16 + 15+ 15+ 18+ 24+ 32 + 14 + 16 + 12 + 4 + 18 + 22 + 4 + 16</f>
        <v>226</v>
      </c>
      <c r="F49" s="365"/>
      <c r="G49" s="365"/>
      <c r="H49" s="365"/>
      <c r="I49" s="365"/>
      <c r="J49" s="365">
        <v>0.24</v>
      </c>
      <c r="K49" s="365">
        <v>0.55000000000000004</v>
      </c>
      <c r="L49" s="365">
        <v>0.45</v>
      </c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>
        <v>0.34</v>
      </c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463"/>
      <c r="AN49" s="461">
        <f t="shared" si="0"/>
        <v>0.39500000000000002</v>
      </c>
      <c r="AO49" s="366"/>
      <c r="AP49" s="367"/>
    </row>
    <row r="50" spans="1:42" s="335" customFormat="1" ht="28.8">
      <c r="A50" s="460" t="s">
        <v>928</v>
      </c>
      <c r="B50" s="368" t="e">
        <f>COMPOSIÇÕES!#REF!</f>
        <v>#REF!</v>
      </c>
      <c r="C50" s="371" t="e">
        <f>COMPOSIÇÕES!#REF!</f>
        <v>#REF!</v>
      </c>
      <c r="D50" s="372" t="e">
        <f>COMPOSIÇÕES!#REF!</f>
        <v>#REF!</v>
      </c>
      <c r="E50" s="370">
        <f>2+ 3+ 3+ 3+ 2+ 2+ 2+ 1+ 2 + 2+ 2 + 2+ 2 + 3 + 3 + 2 + 3 + 2 + 2 + 3 + 2 + 2 + 2 + 2 + 2</f>
        <v>56</v>
      </c>
      <c r="F50" s="365">
        <v>23.42</v>
      </c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>
        <v>19.899999999999999</v>
      </c>
      <c r="AC50" s="365">
        <v>58.16</v>
      </c>
      <c r="AD50" s="365"/>
      <c r="AE50" s="365"/>
      <c r="AF50" s="365"/>
      <c r="AG50" s="365"/>
      <c r="AH50" s="365"/>
      <c r="AI50" s="365"/>
      <c r="AJ50" s="365"/>
      <c r="AK50" s="365"/>
      <c r="AL50" s="365"/>
      <c r="AM50" s="463"/>
      <c r="AN50" s="461">
        <f t="shared" si="0"/>
        <v>23.42</v>
      </c>
      <c r="AO50" s="366"/>
      <c r="AP50" s="367"/>
    </row>
    <row r="51" spans="1:42" s="335" customFormat="1" ht="28.8">
      <c r="A51" s="460" t="s">
        <v>929</v>
      </c>
      <c r="B51" s="368" t="e">
        <f>COMPOSIÇÕES!#REF!</f>
        <v>#REF!</v>
      </c>
      <c r="C51" s="371" t="e">
        <f>COMPOSIÇÕES!#REF!</f>
        <v>#REF!</v>
      </c>
      <c r="D51" s="372" t="e">
        <f>COMPOSIÇÕES!#REF!</f>
        <v>#REF!</v>
      </c>
      <c r="E51" s="370">
        <f>1+ 3+ 3+ 3+ 1 + 1 + 1 + 1 + 1</f>
        <v>15</v>
      </c>
      <c r="F51" s="365">
        <v>28.52</v>
      </c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>
        <v>19</v>
      </c>
      <c r="AC51" s="365">
        <v>72.900000000000006</v>
      </c>
      <c r="AD51" s="365"/>
      <c r="AE51" s="365"/>
      <c r="AF51" s="365"/>
      <c r="AG51" s="365"/>
      <c r="AH51" s="365"/>
      <c r="AI51" s="365"/>
      <c r="AJ51" s="365"/>
      <c r="AK51" s="365"/>
      <c r="AL51" s="365"/>
      <c r="AM51" s="463"/>
      <c r="AN51" s="461">
        <f t="shared" si="0"/>
        <v>28.52</v>
      </c>
      <c r="AO51" s="366"/>
      <c r="AP51" s="367"/>
    </row>
    <row r="52" spans="1:42" s="335" customFormat="1" ht="28.8">
      <c r="A52" s="460" t="s">
        <v>930</v>
      </c>
      <c r="B52" s="368" t="e">
        <f>COMPOSIÇÕES!#REF!</f>
        <v>#REF!</v>
      </c>
      <c r="C52" s="371" t="e">
        <f>COMPOSIÇÕES!#REF!</f>
        <v>#REF!</v>
      </c>
      <c r="D52" s="372" t="e">
        <f>COMPOSIÇÕES!#REF!</f>
        <v>#REF!</v>
      </c>
      <c r="E52" s="370">
        <f>1</f>
        <v>1</v>
      </c>
      <c r="F52" s="365"/>
      <c r="G52" s="365">
        <v>14991.7</v>
      </c>
      <c r="H52" s="365">
        <v>7613.36</v>
      </c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463">
        <v>7571.42</v>
      </c>
      <c r="AN52" s="461">
        <f t="shared" si="0"/>
        <v>7613.36</v>
      </c>
      <c r="AO52" s="366"/>
      <c r="AP52" s="367"/>
    </row>
    <row r="53" spans="1:42" s="335" customFormat="1" ht="28.8">
      <c r="A53" s="460" t="s">
        <v>964</v>
      </c>
      <c r="B53" s="368" t="e">
        <f>COMPOSIÇÕES!#REF!</f>
        <v>#REF!</v>
      </c>
      <c r="C53" s="371" t="e">
        <f>COMPOSIÇÕES!#REF!</f>
        <v>#REF!</v>
      </c>
      <c r="D53" s="372" t="e">
        <f>COMPOSIÇÕES!#REF!</f>
        <v>#REF!</v>
      </c>
      <c r="E53" s="370">
        <f>4+ 45+ 1</f>
        <v>50</v>
      </c>
      <c r="F53" s="365"/>
      <c r="G53" s="365"/>
      <c r="H53" s="365"/>
      <c r="I53" s="365"/>
      <c r="J53" s="365">
        <f>11.6+7.2</f>
        <v>18.8</v>
      </c>
      <c r="K53" s="365">
        <f>9.65*2</f>
        <v>19.3</v>
      </c>
      <c r="L53" s="365">
        <v>24.4</v>
      </c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>
        <v>37.799999999999997</v>
      </c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463"/>
      <c r="AN53" s="461">
        <f t="shared" si="0"/>
        <v>21.85</v>
      </c>
      <c r="AO53" s="366"/>
      <c r="AP53" s="367"/>
    </row>
    <row r="54" spans="1:42" s="335" customFormat="1" ht="28.8">
      <c r="A54" s="460" t="s">
        <v>965</v>
      </c>
      <c r="B54" s="368" t="e">
        <f>COMPOSIÇÕES!#REF!</f>
        <v>#REF!</v>
      </c>
      <c r="C54" s="371" t="e">
        <f>COMPOSIÇÕES!#REF!</f>
        <v>#REF!</v>
      </c>
      <c r="D54" s="372" t="e">
        <f>COMPOSIÇÕES!#REF!</f>
        <v>#REF!</v>
      </c>
      <c r="E54" s="370">
        <f>4</f>
        <v>4</v>
      </c>
      <c r="F54" s="365"/>
      <c r="G54" s="365"/>
      <c r="H54" s="365"/>
      <c r="I54" s="365"/>
      <c r="J54" s="365">
        <f>8.07+7.2</f>
        <v>15.27</v>
      </c>
      <c r="K54" s="365">
        <f>21.05*2</f>
        <v>42.1</v>
      </c>
      <c r="L54" s="365">
        <v>34.200000000000003</v>
      </c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>
        <v>72.3</v>
      </c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463"/>
      <c r="AN54" s="461">
        <f t="shared" si="0"/>
        <v>38.150000000000006</v>
      </c>
      <c r="AO54" s="366"/>
      <c r="AP54" s="367"/>
    </row>
    <row r="55" spans="1:42" s="335" customFormat="1" ht="28.8">
      <c r="A55" s="460" t="s">
        <v>966</v>
      </c>
      <c r="B55" s="368" t="e">
        <f>COMPOSIÇÕES!#REF!</f>
        <v>#REF!</v>
      </c>
      <c r="C55" s="371" t="e">
        <f>COMPOSIÇÕES!#REF!</f>
        <v>#REF!</v>
      </c>
      <c r="D55" s="372" t="e">
        <f>COMPOSIÇÕES!#REF!</f>
        <v>#REF!</v>
      </c>
      <c r="E55" s="370">
        <f>84+ 20+ 25+ 40+ 40</f>
        <v>209</v>
      </c>
      <c r="F55" s="365">
        <v>5.12</v>
      </c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>
        <v>4.9000000000000004</v>
      </c>
      <c r="AC55" s="365">
        <v>12.99</v>
      </c>
      <c r="AD55" s="365"/>
      <c r="AE55" s="365"/>
      <c r="AF55" s="365"/>
      <c r="AG55" s="365"/>
      <c r="AH55" s="365"/>
      <c r="AI55" s="365"/>
      <c r="AJ55" s="365"/>
      <c r="AK55" s="365"/>
      <c r="AL55" s="365"/>
      <c r="AM55" s="463"/>
      <c r="AN55" s="461">
        <f t="shared" si="0"/>
        <v>5.12</v>
      </c>
      <c r="AO55" s="366"/>
      <c r="AP55" s="367"/>
    </row>
    <row r="56" spans="1:42" s="335" customFormat="1" ht="28.8">
      <c r="A56" s="460" t="s">
        <v>967</v>
      </c>
      <c r="B56" s="368" t="e">
        <f>COMPOSIÇÕES!#REF!</f>
        <v>#REF!</v>
      </c>
      <c r="C56" s="371" t="e">
        <f>COMPOSIÇÕES!#REF!</f>
        <v>#REF!</v>
      </c>
      <c r="D56" s="372" t="e">
        <f>COMPOSIÇÕES!#REF!</f>
        <v>#REF!</v>
      </c>
      <c r="E56" s="370">
        <f>12+ 15+ 12+ 12</f>
        <v>51</v>
      </c>
      <c r="F56" s="365"/>
      <c r="G56" s="365"/>
      <c r="H56" s="365"/>
      <c r="I56" s="365"/>
      <c r="J56" s="365">
        <v>0.24</v>
      </c>
      <c r="K56" s="365"/>
      <c r="L56" s="365">
        <v>0.45</v>
      </c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>
        <v>0.34</v>
      </c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463"/>
      <c r="AN56" s="461">
        <f t="shared" si="0"/>
        <v>0.34</v>
      </c>
      <c r="AO56" s="366"/>
      <c r="AP56" s="367"/>
    </row>
    <row r="57" spans="1:42" s="335" customFormat="1" ht="28.8">
      <c r="A57" s="460" t="s">
        <v>968</v>
      </c>
      <c r="B57" s="368" t="e">
        <f>COMPOSIÇÕES!#REF!</f>
        <v>#REF!</v>
      </c>
      <c r="C57" s="371" t="e">
        <f>COMPOSIÇÕES!#REF!</f>
        <v>#REF!</v>
      </c>
      <c r="D57" s="372" t="e">
        <f>COMPOSIÇÕES!#REF!</f>
        <v>#REF!</v>
      </c>
      <c r="E57" s="370">
        <f>1</f>
        <v>1</v>
      </c>
      <c r="F57" s="365"/>
      <c r="G57" s="365">
        <v>16856.46</v>
      </c>
      <c r="H57" s="365">
        <v>8696.76</v>
      </c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463">
        <v>8339</v>
      </c>
      <c r="AN57" s="461">
        <f t="shared" si="0"/>
        <v>8696.76</v>
      </c>
      <c r="AO57" s="366"/>
      <c r="AP57" s="367"/>
    </row>
    <row r="58" spans="1:42" s="335" customFormat="1" ht="28.8">
      <c r="A58" s="460" t="s">
        <v>969</v>
      </c>
      <c r="B58" s="368" t="e">
        <f>COMPOSIÇÕES!#REF!</f>
        <v>#REF!</v>
      </c>
      <c r="C58" s="371" t="e">
        <f>COMPOSIÇÕES!#REF!</f>
        <v>#REF!</v>
      </c>
      <c r="D58" s="372" t="e">
        <f>COMPOSIÇÕES!#REF!</f>
        <v>#REF!</v>
      </c>
      <c r="E58" s="370">
        <f>1</f>
        <v>1</v>
      </c>
      <c r="F58" s="365"/>
      <c r="G58" s="365">
        <v>5570.98</v>
      </c>
      <c r="H58" s="365">
        <v>4173.09</v>
      </c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463">
        <v>3835.15</v>
      </c>
      <c r="AN58" s="461">
        <f t="shared" si="0"/>
        <v>4173.09</v>
      </c>
      <c r="AO58" s="366"/>
      <c r="AP58" s="367"/>
    </row>
    <row r="59" spans="1:42" s="335" customFormat="1" ht="28.8">
      <c r="A59" s="460" t="s">
        <v>971</v>
      </c>
      <c r="B59" s="368" t="e">
        <f>COMPOSIÇÕES!#REF!</f>
        <v>#REF!</v>
      </c>
      <c r="C59" s="371" t="str">
        <f>COMPOSIÇÕES!C236</f>
        <v>CURVA 90 GRAUS, PARA ELETRODUTO, EM ACO GALVANIZADO ELETROLITICO, DIAMETRO DE 50 MM (2")</v>
      </c>
      <c r="D59" s="372" t="str">
        <f>COMPOSIÇÕES!D236</f>
        <v>UNID</v>
      </c>
      <c r="E59" s="370">
        <f>1+ 2+ 2+ 2+ 2+ 2+ 2</f>
        <v>13</v>
      </c>
      <c r="F59" s="365"/>
      <c r="G59" s="365"/>
      <c r="H59" s="365"/>
      <c r="I59" s="365"/>
      <c r="J59" s="365">
        <v>16.22</v>
      </c>
      <c r="K59" s="365">
        <v>13.05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>
        <v>26.25</v>
      </c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463"/>
      <c r="AN59" s="461">
        <f t="shared" si="0"/>
        <v>16.22</v>
      </c>
      <c r="AO59" s="366"/>
      <c r="AP59" s="367"/>
    </row>
    <row r="60" spans="1:42" s="335" customFormat="1" ht="28.8">
      <c r="A60" s="460" t="s">
        <v>972</v>
      </c>
      <c r="B60" s="368" t="e">
        <f>COMPOSIÇÕES!#REF!</f>
        <v>#REF!</v>
      </c>
      <c r="C60" s="371" t="e">
        <f>COMPOSIÇÕES!#REF!</f>
        <v>#REF!</v>
      </c>
      <c r="D60" s="372" t="e">
        <f>COMPOSIÇÕES!#REF!</f>
        <v>#REF!</v>
      </c>
      <c r="E60" s="370">
        <f>3+ 1</f>
        <v>4</v>
      </c>
      <c r="F60" s="365"/>
      <c r="G60" s="365"/>
      <c r="H60" s="365"/>
      <c r="I60" s="365"/>
      <c r="J60" s="365">
        <v>1.84</v>
      </c>
      <c r="K60" s="365">
        <v>1.72</v>
      </c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>
        <v>3.65</v>
      </c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463"/>
      <c r="AN60" s="461">
        <f t="shared" si="0"/>
        <v>1.84</v>
      </c>
      <c r="AO60" s="366"/>
      <c r="AP60" s="367"/>
    </row>
    <row r="61" spans="1:42" s="335" customFormat="1" ht="28.8">
      <c r="A61" s="460" t="s">
        <v>973</v>
      </c>
      <c r="B61" s="368" t="e">
        <f>COMPOSIÇÕES!#REF!</f>
        <v>#REF!</v>
      </c>
      <c r="C61" s="371" t="e">
        <f>COMPOSIÇÕES!#REF!</f>
        <v>#REF!</v>
      </c>
      <c r="D61" s="372" t="e">
        <f>COMPOSIÇÕES!#REF!</f>
        <v>#REF!</v>
      </c>
      <c r="E61" s="370">
        <f>0+ 1+ 1+ 1+ 1</f>
        <v>4</v>
      </c>
      <c r="F61" s="365"/>
      <c r="G61" s="365"/>
      <c r="H61" s="365"/>
      <c r="I61" s="365"/>
      <c r="J61" s="365">
        <v>1.81</v>
      </c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>
        <v>3.65</v>
      </c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>
        <v>2.5</v>
      </c>
      <c r="AK61" s="365"/>
      <c r="AL61" s="365"/>
      <c r="AM61" s="463"/>
      <c r="AN61" s="461">
        <f t="shared" si="0"/>
        <v>2.5</v>
      </c>
      <c r="AO61" s="366"/>
      <c r="AP61" s="367"/>
    </row>
    <row r="62" spans="1:42" s="335" customFormat="1" ht="28.8">
      <c r="A62" s="460" t="s">
        <v>974</v>
      </c>
      <c r="B62" s="368" t="e">
        <f>COMPOSIÇÕES!#REF!</f>
        <v>#REF!</v>
      </c>
      <c r="C62" s="371" t="e">
        <f>COMPOSIÇÕES!#REF!</f>
        <v>#REF!</v>
      </c>
      <c r="D62" s="372" t="e">
        <f>COMPOSIÇÕES!#REF!</f>
        <v>#REF!</v>
      </c>
      <c r="E62" s="370">
        <f>3+ 1+ 1+ 1+ 400</f>
        <v>406</v>
      </c>
      <c r="F62" s="365"/>
      <c r="G62" s="365"/>
      <c r="H62" s="365"/>
      <c r="I62" s="365"/>
      <c r="J62" s="365">
        <v>5.14</v>
      </c>
      <c r="K62" s="365">
        <v>5.55</v>
      </c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>
        <v>29.65</v>
      </c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463"/>
      <c r="AN62" s="461">
        <f t="shared" si="0"/>
        <v>5.55</v>
      </c>
      <c r="AO62" s="366"/>
      <c r="AP62" s="367"/>
    </row>
    <row r="63" spans="1:42" s="335" customFormat="1" ht="28.8">
      <c r="A63" s="460" t="s">
        <v>975</v>
      </c>
      <c r="B63" s="368" t="e">
        <f>COMPOSIÇÕES!#REF!</f>
        <v>#REF!</v>
      </c>
      <c r="C63" s="371" t="e">
        <f>COMPOSIÇÕES!#REF!</f>
        <v>#REF!</v>
      </c>
      <c r="D63" s="372" t="e">
        <f>COMPOSIÇÕES!#REF!</f>
        <v>#REF!</v>
      </c>
      <c r="E63" s="370">
        <f>1</f>
        <v>1</v>
      </c>
      <c r="F63" s="365"/>
      <c r="G63" s="365">
        <v>5777.79</v>
      </c>
      <c r="H63" s="365">
        <v>4162.25</v>
      </c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463">
        <v>3727.92</v>
      </c>
      <c r="AN63" s="461">
        <f t="shared" si="0"/>
        <v>4162.25</v>
      </c>
      <c r="AO63" s="366"/>
      <c r="AP63" s="367"/>
    </row>
    <row r="64" spans="1:42" s="335" customFormat="1" ht="28.8">
      <c r="A64" s="460" t="s">
        <v>970</v>
      </c>
      <c r="B64" s="368" t="e">
        <f>COMPOSIÇÕES!#REF!</f>
        <v>#REF!</v>
      </c>
      <c r="C64" s="371" t="e">
        <f>COMPOSIÇÕES!#REF!</f>
        <v>#REF!</v>
      </c>
      <c r="D64" s="372" t="e">
        <f>COMPOSIÇÕES!#REF!</f>
        <v>#REF!</v>
      </c>
      <c r="E64" s="370">
        <f>3+ 1+ 1+ 1+ 1+ 1</f>
        <v>8</v>
      </c>
      <c r="F64" s="365">
        <v>2.57</v>
      </c>
      <c r="G64" s="365"/>
      <c r="H64" s="365"/>
      <c r="I64" s="365"/>
      <c r="J64" s="365">
        <v>7.91</v>
      </c>
      <c r="K64" s="365">
        <v>2.2999999999999998</v>
      </c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463"/>
      <c r="AN64" s="461">
        <f t="shared" si="0"/>
        <v>2.57</v>
      </c>
      <c r="AO64" s="366"/>
      <c r="AP64" s="367"/>
    </row>
    <row r="65" spans="1:42" s="335" customFormat="1" ht="28.8">
      <c r="A65" s="460" t="s">
        <v>976</v>
      </c>
      <c r="B65" s="368" t="e">
        <f>COMPOSIÇÕES!#REF!</f>
        <v>#REF!</v>
      </c>
      <c r="C65" s="371" t="e">
        <f>COMPOSIÇÕES!#REF!</f>
        <v>#REF!</v>
      </c>
      <c r="D65" s="372" t="e">
        <f>COMPOSIÇÕES!#REF!</f>
        <v>#REF!</v>
      </c>
      <c r="E65" s="370">
        <f>3</f>
        <v>3</v>
      </c>
      <c r="F65" s="365"/>
      <c r="G65" s="365"/>
      <c r="H65" s="365"/>
      <c r="I65" s="365"/>
      <c r="J65" s="365">
        <v>6.8</v>
      </c>
      <c r="K65" s="365">
        <v>6.65</v>
      </c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>
        <v>17.600000000000001</v>
      </c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463"/>
      <c r="AN65" s="461">
        <f t="shared" si="0"/>
        <v>6.8</v>
      </c>
      <c r="AO65" s="366"/>
      <c r="AP65" s="367"/>
    </row>
    <row r="66" spans="1:42" s="335" customFormat="1" ht="28.8">
      <c r="A66" s="460" t="s">
        <v>977</v>
      </c>
      <c r="B66" s="368" t="e">
        <f>COMPOSIÇÕES!#REF!</f>
        <v>#REF!</v>
      </c>
      <c r="C66" s="371" t="e">
        <f>COMPOSIÇÕES!#REF!</f>
        <v>#REF!</v>
      </c>
      <c r="D66" s="372" t="e">
        <f>COMPOSIÇÕES!#REF!</f>
        <v>#REF!</v>
      </c>
      <c r="E66" s="370">
        <f>7</f>
        <v>7</v>
      </c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>
        <v>58.15</v>
      </c>
      <c r="Z66" s="365"/>
      <c r="AA66" s="365"/>
      <c r="AB66" s="365"/>
      <c r="AC66" s="365"/>
      <c r="AD66" s="365">
        <v>64.14</v>
      </c>
      <c r="AE66" s="365">
        <v>45.04</v>
      </c>
      <c r="AF66" s="365"/>
      <c r="AG66" s="365"/>
      <c r="AH66" s="365"/>
      <c r="AI66" s="365"/>
      <c r="AJ66" s="365"/>
      <c r="AK66" s="365"/>
      <c r="AL66" s="365"/>
      <c r="AM66" s="463"/>
      <c r="AN66" s="461">
        <f t="shared" si="0"/>
        <v>58.15</v>
      </c>
      <c r="AO66" s="366"/>
      <c r="AP66" s="367"/>
    </row>
    <row r="67" spans="1:42" s="335" customFormat="1" ht="28.8">
      <c r="A67" s="460" t="s">
        <v>978</v>
      </c>
      <c r="B67" s="368" t="e">
        <f>COMPOSIÇÕES!#REF!</f>
        <v>#REF!</v>
      </c>
      <c r="C67" s="371" t="e">
        <f>COMPOSIÇÕES!#REF!</f>
        <v>#REF!</v>
      </c>
      <c r="D67" s="372" t="e">
        <f>COMPOSIÇÕES!#REF!</f>
        <v>#REF!</v>
      </c>
      <c r="E67" s="370">
        <f>1</f>
        <v>1</v>
      </c>
      <c r="F67" s="365"/>
      <c r="G67" s="365">
        <v>6980.61</v>
      </c>
      <c r="H67" s="365">
        <v>5058.0600000000004</v>
      </c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463">
        <v>4522.5</v>
      </c>
      <c r="AN67" s="461">
        <f t="shared" si="0"/>
        <v>5058.0600000000004</v>
      </c>
      <c r="AO67" s="366"/>
      <c r="AP67" s="367"/>
    </row>
    <row r="68" spans="1:42" s="335" customFormat="1" ht="28.8">
      <c r="A68" s="460" t="s">
        <v>979</v>
      </c>
      <c r="B68" s="368" t="e">
        <f>COMPOSIÇÕES!#REF!</f>
        <v>#REF!</v>
      </c>
      <c r="C68" s="371" t="e">
        <f>COMPOSIÇÕES!#REF!</f>
        <v>#REF!</v>
      </c>
      <c r="D68" s="372" t="e">
        <f>COMPOSIÇÕES!#REF!</f>
        <v>#REF!</v>
      </c>
      <c r="E68" s="370">
        <f>1+ 1+ 1</f>
        <v>3</v>
      </c>
      <c r="F68" s="365"/>
      <c r="G68" s="365"/>
      <c r="H68" s="365"/>
      <c r="I68" s="365"/>
      <c r="J68" s="365"/>
      <c r="K68" s="365"/>
      <c r="L68" s="365"/>
      <c r="M68" s="365">
        <v>571.97</v>
      </c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>
        <v>931.15</v>
      </c>
      <c r="Z68" s="365"/>
      <c r="AA68" s="365">
        <v>1186.8399999999999</v>
      </c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463"/>
      <c r="AN68" s="461">
        <f t="shared" si="0"/>
        <v>931.15</v>
      </c>
      <c r="AO68" s="366"/>
      <c r="AP68" s="367"/>
    </row>
    <row r="69" spans="1:42" s="335" customFormat="1" ht="28.8">
      <c r="A69" s="460" t="s">
        <v>980</v>
      </c>
      <c r="B69" s="368" t="e">
        <f>COMPOSIÇÕES!#REF!</f>
        <v>#REF!</v>
      </c>
      <c r="C69" s="371" t="e">
        <f>COMPOSIÇÕES!#REF!</f>
        <v>#REF!</v>
      </c>
      <c r="D69" s="372" t="e">
        <f>COMPOSIÇÕES!#REF!</f>
        <v>#REF!</v>
      </c>
      <c r="E69" s="370">
        <f>1</f>
        <v>1</v>
      </c>
      <c r="F69" s="365"/>
      <c r="G69" s="365">
        <v>7966.52</v>
      </c>
      <c r="H69" s="365">
        <v>5665.26</v>
      </c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463">
        <v>5260.59</v>
      </c>
      <c r="AN69" s="461">
        <f t="shared" ref="AN69:AN132" si="1">MEDIAN(F69:AM69)</f>
        <v>5665.26</v>
      </c>
      <c r="AO69" s="366"/>
      <c r="AP69" s="367"/>
    </row>
    <row r="70" spans="1:42" s="335" customFormat="1" ht="28.8">
      <c r="A70" s="460" t="s">
        <v>981</v>
      </c>
      <c r="B70" s="368" t="e">
        <f>COMPOSIÇÕES!#REF!</f>
        <v>#REF!</v>
      </c>
      <c r="C70" s="371" t="e">
        <f>COMPOSIÇÕES!#REF!</f>
        <v>#REF!</v>
      </c>
      <c r="D70" s="372" t="e">
        <f>COMPOSIÇÕES!#REF!</f>
        <v>#REF!</v>
      </c>
      <c r="E70" s="370">
        <f>1</f>
        <v>1</v>
      </c>
      <c r="F70" s="365"/>
      <c r="G70" s="365">
        <v>17007.12</v>
      </c>
      <c r="H70" s="365">
        <v>10990.14</v>
      </c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463">
        <v>9320.18</v>
      </c>
      <c r="AN70" s="461">
        <f t="shared" si="1"/>
        <v>10990.14</v>
      </c>
      <c r="AO70" s="366"/>
      <c r="AP70" s="367"/>
    </row>
    <row r="71" spans="1:42" s="335" customFormat="1" ht="28.8">
      <c r="A71" s="460" t="s">
        <v>982</v>
      </c>
      <c r="B71" s="368" t="e">
        <f>COMPOSIÇÕES!#REF!</f>
        <v>#REF!</v>
      </c>
      <c r="C71" s="371" t="e">
        <f>COMPOSIÇÕES!#REF!</f>
        <v>#REF!</v>
      </c>
      <c r="D71" s="372" t="e">
        <f>COMPOSIÇÕES!#REF!</f>
        <v>#REF!</v>
      </c>
      <c r="E71" s="370">
        <f>1</f>
        <v>1</v>
      </c>
      <c r="F71" s="365"/>
      <c r="G71" s="365"/>
      <c r="H71" s="365"/>
      <c r="I71" s="365"/>
      <c r="J71" s="365">
        <f>20.69+9.64</f>
        <v>30.330000000000002</v>
      </c>
      <c r="K71" s="365">
        <f>17.95*2</f>
        <v>35.9</v>
      </c>
      <c r="L71" s="365">
        <v>57</v>
      </c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>
        <v>90.82</v>
      </c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463"/>
      <c r="AN71" s="461">
        <f t="shared" si="1"/>
        <v>46.45</v>
      </c>
      <c r="AO71" s="366"/>
      <c r="AP71" s="367"/>
    </row>
    <row r="72" spans="1:42" s="335" customFormat="1" ht="28.8">
      <c r="A72" s="460" t="s">
        <v>983</v>
      </c>
      <c r="B72" s="368" t="e">
        <f>COMPOSIÇÕES!#REF!</f>
        <v>#REF!</v>
      </c>
      <c r="C72" s="371" t="e">
        <f>COMPOSIÇÕES!#REF!</f>
        <v>#REF!</v>
      </c>
      <c r="D72" s="372" t="e">
        <f>COMPOSIÇÕES!#REF!</f>
        <v>#REF!</v>
      </c>
      <c r="E72" s="370">
        <f>1</f>
        <v>1</v>
      </c>
      <c r="F72" s="365"/>
      <c r="G72" s="365">
        <v>14918.82</v>
      </c>
      <c r="H72" s="365">
        <v>7662.35</v>
      </c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463">
        <v>7531.19</v>
      </c>
      <c r="AN72" s="461">
        <f t="shared" si="1"/>
        <v>7662.35</v>
      </c>
      <c r="AO72" s="366"/>
      <c r="AP72" s="367"/>
    </row>
    <row r="73" spans="1:42" s="335" customFormat="1" ht="28.8">
      <c r="A73" s="460" t="s">
        <v>984</v>
      </c>
      <c r="B73" s="368" t="e">
        <f>COMPOSIÇÕES!#REF!</f>
        <v>#REF!</v>
      </c>
      <c r="C73" s="371" t="e">
        <f>COMPOSIÇÕES!#REF!</f>
        <v>#REF!</v>
      </c>
      <c r="D73" s="372" t="e">
        <f>COMPOSIÇÕES!#REF!</f>
        <v>#REF!</v>
      </c>
      <c r="E73" s="370">
        <f>1</f>
        <v>1</v>
      </c>
      <c r="F73" s="365"/>
      <c r="G73" s="365">
        <v>17926.82</v>
      </c>
      <c r="H73" s="365">
        <v>9392.8700000000008</v>
      </c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463">
        <v>11291.17</v>
      </c>
      <c r="AN73" s="461">
        <f t="shared" si="1"/>
        <v>11291.17</v>
      </c>
      <c r="AO73" s="366"/>
      <c r="AP73" s="367"/>
    </row>
    <row r="74" spans="1:42" s="335" customFormat="1" ht="28.8">
      <c r="A74" s="460" t="s">
        <v>986</v>
      </c>
      <c r="B74" s="368" t="e">
        <f>COMPOSIÇÕES!#REF!</f>
        <v>#REF!</v>
      </c>
      <c r="C74" s="371" t="e">
        <f>COMPOSIÇÕES!#REF!</f>
        <v>#REF!</v>
      </c>
      <c r="D74" s="372" t="e">
        <f>COMPOSIÇÕES!#REF!</f>
        <v>#REF!</v>
      </c>
      <c r="E74" s="370">
        <f>1</f>
        <v>1</v>
      </c>
      <c r="F74" s="365"/>
      <c r="G74" s="365"/>
      <c r="H74" s="365"/>
      <c r="I74" s="365">
        <v>86</v>
      </c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>
        <v>55.23</v>
      </c>
      <c r="W74" s="365">
        <v>62.1</v>
      </c>
      <c r="X74" s="365">
        <v>31.23</v>
      </c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463"/>
      <c r="AN74" s="461">
        <f t="shared" si="1"/>
        <v>58.664999999999999</v>
      </c>
      <c r="AO74" s="366"/>
      <c r="AP74" s="367"/>
    </row>
    <row r="75" spans="1:42" s="335" customFormat="1" ht="28.8">
      <c r="A75" s="460" t="s">
        <v>985</v>
      </c>
      <c r="B75" s="368" t="e">
        <f>COMPOSIÇÕES!#REF!</f>
        <v>#REF!</v>
      </c>
      <c r="C75" s="371" t="e">
        <f>COMPOSIÇÕES!#REF!</f>
        <v>#REF!</v>
      </c>
      <c r="D75" s="372" t="e">
        <f>COMPOSIÇÕES!#REF!</f>
        <v>#REF!</v>
      </c>
      <c r="E75" s="370">
        <f>1</f>
        <v>1</v>
      </c>
      <c r="F75" s="365"/>
      <c r="G75" s="365"/>
      <c r="H75" s="365"/>
      <c r="I75" s="365">
        <v>76</v>
      </c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>
        <v>49.94</v>
      </c>
      <c r="W75" s="365">
        <v>64.5</v>
      </c>
      <c r="X75" s="365">
        <v>32.090000000000003</v>
      </c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463"/>
      <c r="AN75" s="461">
        <f t="shared" si="1"/>
        <v>57.22</v>
      </c>
      <c r="AO75" s="366"/>
      <c r="AP75" s="367"/>
    </row>
    <row r="76" spans="1:42" s="335" customFormat="1" ht="28.8">
      <c r="A76" s="460" t="s">
        <v>987</v>
      </c>
      <c r="B76" s="368" t="e">
        <f>COMPOSIÇÕES!#REF!</f>
        <v>#REF!</v>
      </c>
      <c r="C76" s="371" t="e">
        <f>COMPOSIÇÕES!#REF!</f>
        <v>#REF!</v>
      </c>
      <c r="D76" s="372" t="e">
        <f>COMPOSIÇÕES!#REF!</f>
        <v>#REF!</v>
      </c>
      <c r="E76" s="370">
        <f>1</f>
        <v>1</v>
      </c>
      <c r="F76" s="365"/>
      <c r="G76" s="365">
        <v>6060.77</v>
      </c>
      <c r="H76" s="365">
        <v>4698.04</v>
      </c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463">
        <v>3892.46</v>
      </c>
      <c r="AN76" s="461">
        <f t="shared" si="1"/>
        <v>4698.04</v>
      </c>
      <c r="AO76" s="366"/>
      <c r="AP76" s="367"/>
    </row>
    <row r="77" spans="1:42" s="335" customFormat="1" ht="28.8">
      <c r="A77" s="460" t="s">
        <v>988</v>
      </c>
      <c r="B77" s="368" t="e">
        <f>COMPOSIÇÕES!#REF!</f>
        <v>#REF!</v>
      </c>
      <c r="C77" s="371" t="e">
        <f>COMPOSIÇÕES!#REF!</f>
        <v>#REF!</v>
      </c>
      <c r="D77" s="372" t="e">
        <f>COMPOSIÇÕES!#REF!</f>
        <v>#REF!</v>
      </c>
      <c r="E77" s="370">
        <f>1</f>
        <v>1</v>
      </c>
      <c r="F77" s="365"/>
      <c r="G77" s="365">
        <v>5570.99</v>
      </c>
      <c r="H77" s="365">
        <v>4038.58</v>
      </c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463">
        <v>3540.76</v>
      </c>
      <c r="AN77" s="461">
        <f t="shared" si="1"/>
        <v>4038.58</v>
      </c>
      <c r="AO77" s="366"/>
      <c r="AP77" s="367"/>
    </row>
    <row r="78" spans="1:42" s="335" customFormat="1" ht="28.8">
      <c r="A78" s="460" t="s">
        <v>931</v>
      </c>
      <c r="B78" s="368" t="e">
        <f>COMPOSIÇÕES!#REF!</f>
        <v>#REF!</v>
      </c>
      <c r="C78" s="371" t="e">
        <f>COMPOSIÇÕES!#REF!</f>
        <v>#REF!</v>
      </c>
      <c r="D78" s="372" t="e">
        <f>COMPOSIÇÕES!#REF!</f>
        <v>#REF!</v>
      </c>
      <c r="E78" s="370">
        <f>18+ 22+ 9+ 1+ 2+ 1+ 1+ 1+ 2 + 2+ 2+ 2+ 2+ 3+ 1+ 1+ 1+ 1+ 2+ 1+ 1</f>
        <v>76</v>
      </c>
      <c r="F78" s="365"/>
      <c r="G78" s="365"/>
      <c r="H78" s="365"/>
      <c r="I78" s="365">
        <v>41</v>
      </c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>
        <v>36.68</v>
      </c>
      <c r="W78" s="365">
        <v>35.450000000000003</v>
      </c>
      <c r="X78" s="365">
        <v>16.2</v>
      </c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463"/>
      <c r="AN78" s="461">
        <f t="shared" si="1"/>
        <v>36.064999999999998</v>
      </c>
      <c r="AO78" s="366"/>
      <c r="AP78" s="367"/>
    </row>
    <row r="79" spans="1:42" s="335" customFormat="1" ht="28.8">
      <c r="A79" s="460" t="s">
        <v>932</v>
      </c>
      <c r="B79" s="368" t="e">
        <f>COMPOSIÇÕES!#REF!</f>
        <v>#REF!</v>
      </c>
      <c r="C79" s="371" t="e">
        <f>COMPOSIÇÕES!#REF!</f>
        <v>#REF!</v>
      </c>
      <c r="D79" s="372" t="e">
        <f>COMPOSIÇÕES!#REF!</f>
        <v>#REF!</v>
      </c>
      <c r="E79" s="370">
        <f>2+ 4+ 1+ 11+ 8+ 4+ 6 + 7+ 7+ 9+ 12+ 16+ 5+ 6+ 14+ 6+ 5+ 4+ 15</f>
        <v>142</v>
      </c>
      <c r="F79" s="365"/>
      <c r="G79" s="365"/>
      <c r="H79" s="365"/>
      <c r="I79" s="365">
        <v>145</v>
      </c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>
        <v>91.06</v>
      </c>
      <c r="W79" s="365">
        <v>100.15</v>
      </c>
      <c r="X79" s="365">
        <v>50.33</v>
      </c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463"/>
      <c r="AN79" s="461">
        <f t="shared" si="1"/>
        <v>95.605000000000004</v>
      </c>
      <c r="AO79" s="366"/>
      <c r="AP79" s="367"/>
    </row>
    <row r="80" spans="1:42" s="335" customFormat="1" ht="28.8">
      <c r="A80" s="460" t="s">
        <v>933</v>
      </c>
      <c r="B80" s="368" t="e">
        <f>COMPOSIÇÕES!#REF!</f>
        <v>#REF!</v>
      </c>
      <c r="C80" s="371" t="e">
        <f>COMPOSIÇÕES!#REF!</f>
        <v>#REF!</v>
      </c>
      <c r="D80" s="372" t="e">
        <f>COMPOSIÇÕES!#REF!</f>
        <v>#REF!</v>
      </c>
      <c r="E80" s="370">
        <f>1+ 1</f>
        <v>2</v>
      </c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>
        <v>11.3</v>
      </c>
      <c r="Z80" s="365"/>
      <c r="AA80" s="365"/>
      <c r="AB80" s="365">
        <v>11.9</v>
      </c>
      <c r="AC80" s="365"/>
      <c r="AD80" s="365"/>
      <c r="AE80" s="365"/>
      <c r="AF80" s="365"/>
      <c r="AG80" s="365"/>
      <c r="AH80" s="365"/>
      <c r="AI80" s="365"/>
      <c r="AJ80" s="365">
        <v>5.5</v>
      </c>
      <c r="AK80" s="365"/>
      <c r="AL80" s="365"/>
      <c r="AM80" s="463"/>
      <c r="AN80" s="461">
        <f t="shared" si="1"/>
        <v>11.3</v>
      </c>
      <c r="AO80" s="366"/>
      <c r="AP80" s="367"/>
    </row>
    <row r="81" spans="1:42" s="335" customFormat="1" ht="28.8">
      <c r="A81" s="460" t="s">
        <v>935</v>
      </c>
      <c r="B81" s="368" t="e">
        <f>COMPOSIÇÕES!#REF!</f>
        <v>#REF!</v>
      </c>
      <c r="C81" s="371" t="e">
        <f>COMPOSIÇÕES!#REF!</f>
        <v>#REF!</v>
      </c>
      <c r="D81" s="372" t="e">
        <f>COMPOSIÇÕES!#REF!</f>
        <v>#REF!</v>
      </c>
      <c r="E81" s="370">
        <f>6+ 1+ 2+ 8+ 1</f>
        <v>18</v>
      </c>
      <c r="F81" s="365">
        <v>12.06</v>
      </c>
      <c r="G81" s="365"/>
      <c r="H81" s="365"/>
      <c r="I81" s="365"/>
      <c r="J81" s="365">
        <f>22+11.07</f>
        <v>33.07</v>
      </c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>
        <v>88.65</v>
      </c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463"/>
      <c r="AN81" s="461">
        <f t="shared" si="1"/>
        <v>33.07</v>
      </c>
      <c r="AO81" s="366"/>
      <c r="AP81" s="367"/>
    </row>
    <row r="82" spans="1:42" s="335" customFormat="1" ht="28.8">
      <c r="A82" s="460" t="s">
        <v>936</v>
      </c>
      <c r="B82" s="368" t="e">
        <f>COMPOSIÇÕES!#REF!</f>
        <v>#REF!</v>
      </c>
      <c r="C82" s="371" t="e">
        <f>COMPOSIÇÕES!#REF!</f>
        <v>#REF!</v>
      </c>
      <c r="D82" s="372" t="e">
        <f>COMPOSIÇÕES!#REF!</f>
        <v>#REF!</v>
      </c>
      <c r="E82" s="370">
        <f>1</f>
        <v>1</v>
      </c>
      <c r="F82" s="365">
        <v>11.23</v>
      </c>
      <c r="G82" s="365"/>
      <c r="H82" s="365"/>
      <c r="I82" s="365"/>
      <c r="J82" s="365">
        <f>26.97+11.62</f>
        <v>38.589999999999996</v>
      </c>
      <c r="K82" s="365">
        <f>12.98*2</f>
        <v>25.96</v>
      </c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>
        <v>96.8</v>
      </c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463"/>
      <c r="AN82" s="461">
        <f t="shared" si="1"/>
        <v>32.274999999999999</v>
      </c>
      <c r="AO82" s="366"/>
      <c r="AP82" s="367"/>
    </row>
    <row r="83" spans="1:42" s="335" customFormat="1" ht="28.8">
      <c r="A83" s="460" t="s">
        <v>937</v>
      </c>
      <c r="B83" s="368" t="e">
        <f>COMPOSIÇÕES!#REF!</f>
        <v>#REF!</v>
      </c>
      <c r="C83" s="371" t="e">
        <f>COMPOSIÇÕES!#REF!</f>
        <v>#REF!</v>
      </c>
      <c r="D83" s="372" t="e">
        <f>COMPOSIÇÕES!#REF!</f>
        <v>#REF!</v>
      </c>
      <c r="E83" s="370">
        <f>14+ 40+ 3</f>
        <v>57</v>
      </c>
      <c r="F83" s="365"/>
      <c r="G83" s="365"/>
      <c r="H83" s="365"/>
      <c r="I83" s="365"/>
      <c r="J83" s="365">
        <v>65.64</v>
      </c>
      <c r="K83" s="365">
        <f>41.86*2</f>
        <v>83.72</v>
      </c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>
        <f>47.4*3</f>
        <v>142.19999999999999</v>
      </c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463"/>
      <c r="AN83" s="461">
        <f t="shared" si="1"/>
        <v>83.72</v>
      </c>
      <c r="AO83" s="366"/>
      <c r="AP83" s="367"/>
    </row>
    <row r="84" spans="1:42" s="335" customFormat="1" ht="28.8">
      <c r="A84" s="460" t="s">
        <v>938</v>
      </c>
      <c r="B84" s="368" t="e">
        <f>COMPOSIÇÕES!#REF!</f>
        <v>#REF!</v>
      </c>
      <c r="C84" s="371" t="e">
        <f>COMPOSIÇÕES!#REF!</f>
        <v>#REF!</v>
      </c>
      <c r="D84" s="372" t="e">
        <f>COMPOSIÇÕES!#REF!</f>
        <v>#REF!</v>
      </c>
      <c r="E84" s="370">
        <f>4+ 14+ 4+ 9+ 3+ 10+ 7+ 15+ 11+ 2+ 3+ 2+ 3+ 8</f>
        <v>95</v>
      </c>
      <c r="F84" s="365">
        <v>72.44</v>
      </c>
      <c r="G84" s="365"/>
      <c r="H84" s="365"/>
      <c r="I84" s="365"/>
      <c r="J84" s="365">
        <v>90.31</v>
      </c>
      <c r="K84" s="365">
        <v>86</v>
      </c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>
        <f>33.31*3</f>
        <v>99.93</v>
      </c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463"/>
      <c r="AN84" s="461">
        <f t="shared" si="1"/>
        <v>88.155000000000001</v>
      </c>
      <c r="AO84" s="366"/>
      <c r="AP84" s="367"/>
    </row>
    <row r="85" spans="1:42" s="335" customFormat="1" ht="28.8">
      <c r="A85" s="460" t="s">
        <v>939</v>
      </c>
      <c r="B85" s="368" t="e">
        <f>COMPOSIÇÕES!#REF!</f>
        <v>#REF!</v>
      </c>
      <c r="C85" s="371" t="e">
        <f>COMPOSIÇÕES!#REF!</f>
        <v>#REF!</v>
      </c>
      <c r="D85" s="372" t="e">
        <f>COMPOSIÇÕES!#REF!</f>
        <v>#REF!</v>
      </c>
      <c r="E85" s="370">
        <f>1+ 4+ 1+ 2+ 1+ 1+ 3+ 8+ 6+ 1+ 1+ 1+ 1+ 2</f>
        <v>33</v>
      </c>
      <c r="F85" s="365"/>
      <c r="G85" s="365"/>
      <c r="H85" s="365"/>
      <c r="I85" s="365"/>
      <c r="J85" s="365">
        <v>1.85</v>
      </c>
      <c r="K85" s="365">
        <v>1.95</v>
      </c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>
        <v>2.1800000000000002</v>
      </c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463"/>
      <c r="AN85" s="461">
        <f t="shared" si="1"/>
        <v>1.95</v>
      </c>
      <c r="AO85" s="366"/>
      <c r="AP85" s="367"/>
    </row>
    <row r="86" spans="1:42" s="335" customFormat="1" ht="28.8">
      <c r="A86" s="460" t="s">
        <v>940</v>
      </c>
      <c r="B86" s="368" t="e">
        <f>COMPOSIÇÕES!#REF!</f>
        <v>#REF!</v>
      </c>
      <c r="C86" s="371" t="e">
        <f>COMPOSIÇÕES!#REF!</f>
        <v>#REF!</v>
      </c>
      <c r="D86" s="372" t="e">
        <f>COMPOSIÇÕES!#REF!</f>
        <v>#REF!</v>
      </c>
      <c r="E86" s="370">
        <f>3+ 2</f>
        <v>5</v>
      </c>
      <c r="F86" s="365"/>
      <c r="G86" s="365"/>
      <c r="H86" s="365"/>
      <c r="I86" s="365"/>
      <c r="J86" s="365">
        <f>31.04+15.49</f>
        <v>46.53</v>
      </c>
      <c r="K86" s="365">
        <f>23.3*2</f>
        <v>46.6</v>
      </c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>
        <v>302.39999999999998</v>
      </c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463"/>
      <c r="AN86" s="461">
        <f t="shared" si="1"/>
        <v>46.6</v>
      </c>
      <c r="AO86" s="366"/>
      <c r="AP86" s="367"/>
    </row>
    <row r="87" spans="1:42" s="335" customFormat="1" ht="28.8">
      <c r="A87" s="460" t="s">
        <v>941</v>
      </c>
      <c r="B87" s="368" t="e">
        <f>COMPOSIÇÕES!#REF!</f>
        <v>#REF!</v>
      </c>
      <c r="C87" s="371" t="e">
        <f>COMPOSIÇÕES!#REF!</f>
        <v>#REF!</v>
      </c>
      <c r="D87" s="372" t="e">
        <f>COMPOSIÇÕES!#REF!</f>
        <v>#REF!</v>
      </c>
      <c r="E87" s="370">
        <f>8+ 28+ 4+ 6+ 7+ 25+ 11</f>
        <v>89</v>
      </c>
      <c r="F87" s="365">
        <v>3.99</v>
      </c>
      <c r="G87" s="365"/>
      <c r="H87" s="365"/>
      <c r="I87" s="365"/>
      <c r="J87" s="365"/>
      <c r="K87" s="365">
        <v>4.5999999999999996</v>
      </c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>
        <v>17.3</v>
      </c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463"/>
      <c r="AN87" s="461">
        <f t="shared" si="1"/>
        <v>4.5999999999999996</v>
      </c>
      <c r="AO87" s="366"/>
      <c r="AP87" s="367"/>
    </row>
    <row r="88" spans="1:42" s="335" customFormat="1" ht="28.8">
      <c r="A88" s="460" t="s">
        <v>942</v>
      </c>
      <c r="B88" s="368" t="e">
        <f>COMPOSIÇÕES!#REF!</f>
        <v>#REF!</v>
      </c>
      <c r="C88" s="371" t="e">
        <f>COMPOSIÇÕES!#REF!</f>
        <v>#REF!</v>
      </c>
      <c r="D88" s="372" t="e">
        <f>COMPOSIÇÕES!#REF!</f>
        <v>#REF!</v>
      </c>
      <c r="E88" s="370">
        <f>1+ 4+ 1+ 2+ 1+ 3+ 10+ 6+ 1+ 1+ 1+ 1+ 2</f>
        <v>34</v>
      </c>
      <c r="F88" s="365">
        <v>3.61</v>
      </c>
      <c r="G88" s="365"/>
      <c r="H88" s="365"/>
      <c r="I88" s="365"/>
      <c r="J88" s="365"/>
      <c r="K88" s="365">
        <v>3.85</v>
      </c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>
        <v>19.32</v>
      </c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463"/>
      <c r="AN88" s="461">
        <f t="shared" si="1"/>
        <v>3.85</v>
      </c>
      <c r="AO88" s="366"/>
      <c r="AP88" s="367"/>
    </row>
    <row r="89" spans="1:42" s="335" customFormat="1" ht="28.8">
      <c r="A89" s="460" t="s">
        <v>943</v>
      </c>
      <c r="B89" s="368" t="e">
        <f>COMPOSIÇÕES!#REF!</f>
        <v>#REF!</v>
      </c>
      <c r="C89" s="371" t="e">
        <f>COMPOSIÇÕES!#REF!</f>
        <v>#REF!</v>
      </c>
      <c r="D89" s="372" t="e">
        <f>COMPOSIÇÕES!#REF!</f>
        <v>#REF!</v>
      </c>
      <c r="E89" s="370">
        <f>300+ 200+ 200+ 200+ 3+ 200+ 100+ 100+ 150</f>
        <v>1453</v>
      </c>
      <c r="F89" s="365">
        <v>5.91</v>
      </c>
      <c r="G89" s="365"/>
      <c r="H89" s="365"/>
      <c r="I89" s="365"/>
      <c r="J89" s="365"/>
      <c r="K89" s="365">
        <v>4.3499999999999996</v>
      </c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>
        <v>5.65</v>
      </c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463"/>
      <c r="AN89" s="461">
        <f t="shared" si="1"/>
        <v>5.65</v>
      </c>
      <c r="AO89" s="366"/>
      <c r="AP89" s="367"/>
    </row>
    <row r="90" spans="1:42" s="335" customFormat="1" ht="28.8">
      <c r="A90" s="460" t="s">
        <v>944</v>
      </c>
      <c r="B90" s="368" t="e">
        <f>COMPOSIÇÕES!#REF!</f>
        <v>#REF!</v>
      </c>
      <c r="C90" s="371" t="e">
        <f>COMPOSIÇÕES!#REF!</f>
        <v>#REF!</v>
      </c>
      <c r="D90" s="372" t="e">
        <f>COMPOSIÇÕES!#REF!</f>
        <v>#REF!</v>
      </c>
      <c r="E90" s="370">
        <f>10+ 7+ 1+ 3+ 15+ 3+ 7</f>
        <v>46</v>
      </c>
      <c r="F90" s="365">
        <v>76.430000000000007</v>
      </c>
      <c r="G90" s="365"/>
      <c r="H90" s="365"/>
      <c r="I90" s="365"/>
      <c r="J90" s="365"/>
      <c r="K90" s="365">
        <v>60.75</v>
      </c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>
        <v>68.31</v>
      </c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463"/>
      <c r="AN90" s="461">
        <f t="shared" si="1"/>
        <v>68.31</v>
      </c>
      <c r="AO90" s="366"/>
      <c r="AP90" s="367"/>
    </row>
    <row r="91" spans="1:42" s="335" customFormat="1" ht="28.8">
      <c r="A91" s="460" t="s">
        <v>945</v>
      </c>
      <c r="B91" s="368" t="e">
        <f>COMPOSIÇÕES!#REF!</f>
        <v>#REF!</v>
      </c>
      <c r="C91" s="371" t="e">
        <f>COMPOSIÇÕES!#REF!</f>
        <v>#REF!</v>
      </c>
      <c r="D91" s="372" t="e">
        <f>COMPOSIÇÕES!#REF!</f>
        <v>#REF!</v>
      </c>
      <c r="E91" s="370">
        <f>1</f>
        <v>1</v>
      </c>
      <c r="F91" s="365"/>
      <c r="G91" s="365">
        <v>18214.75</v>
      </c>
      <c r="H91" s="365">
        <v>10170.49</v>
      </c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463">
        <v>9673.86</v>
      </c>
      <c r="AN91" s="461">
        <f t="shared" si="1"/>
        <v>10170.49</v>
      </c>
      <c r="AO91" s="366"/>
      <c r="AP91" s="367"/>
    </row>
    <row r="92" spans="1:42" s="335" customFormat="1" ht="28.8">
      <c r="A92" s="460" t="s">
        <v>934</v>
      </c>
      <c r="B92" s="368" t="e">
        <f>COMPOSIÇÕES!#REF!</f>
        <v>#REF!</v>
      </c>
      <c r="C92" s="371" t="str">
        <f>COMPOSIÇÕES!C139</f>
        <v>LUVA PARA ELETRODUTO, EM ACO GALVANIZADO ELETROLITICO, DIAMETRO DE 100 MM (4")</v>
      </c>
      <c r="D92" s="372" t="str">
        <f>COMPOSIÇÕES!D139</f>
        <v>UNID</v>
      </c>
      <c r="E92" s="370">
        <f>4+ 4+ 1+ 1+ 2+ 1+ 2+ 2+ 1+ 3+ 2</f>
        <v>23</v>
      </c>
      <c r="F92" s="365">
        <v>5.7</v>
      </c>
      <c r="G92" s="365"/>
      <c r="H92" s="365"/>
      <c r="I92" s="365"/>
      <c r="J92" s="365"/>
      <c r="K92" s="365">
        <v>6.35</v>
      </c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>
        <v>8.75</v>
      </c>
      <c r="AG92" s="365"/>
      <c r="AH92" s="365"/>
      <c r="AI92" s="365"/>
      <c r="AJ92" s="365"/>
      <c r="AK92" s="365"/>
      <c r="AL92" s="365"/>
      <c r="AM92" s="463"/>
      <c r="AN92" s="461">
        <f t="shared" si="1"/>
        <v>6.35</v>
      </c>
      <c r="AO92" s="366"/>
      <c r="AP92" s="367"/>
    </row>
    <row r="93" spans="1:42" s="335" customFormat="1" ht="28.8">
      <c r="A93" s="460" t="s">
        <v>989</v>
      </c>
      <c r="B93" s="368" t="e">
        <f>COMPOSIÇÕES!#REF!</f>
        <v>#REF!</v>
      </c>
      <c r="C93" s="371" t="e">
        <f>COMPOSIÇÕES!#REF!</f>
        <v>#REF!</v>
      </c>
      <c r="D93" s="372" t="e">
        <f>COMPOSIÇÕES!#REF!</f>
        <v>#REF!</v>
      </c>
      <c r="E93" s="370">
        <f>1</f>
        <v>1</v>
      </c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>
        <v>11.3</v>
      </c>
      <c r="Z93" s="365"/>
      <c r="AA93" s="365"/>
      <c r="AB93" s="365">
        <v>11.9</v>
      </c>
      <c r="AC93" s="365"/>
      <c r="AD93" s="365"/>
      <c r="AE93" s="365"/>
      <c r="AF93" s="365"/>
      <c r="AG93" s="365"/>
      <c r="AH93" s="365"/>
      <c r="AI93" s="365"/>
      <c r="AJ93" s="365">
        <v>5.5</v>
      </c>
      <c r="AK93" s="365"/>
      <c r="AL93" s="365"/>
      <c r="AM93" s="463"/>
      <c r="AN93" s="461">
        <f t="shared" si="1"/>
        <v>11.3</v>
      </c>
      <c r="AO93" s="366"/>
      <c r="AP93" s="367"/>
    </row>
    <row r="94" spans="1:42" s="335" customFormat="1" ht="28.8">
      <c r="A94" s="460" t="s">
        <v>991</v>
      </c>
      <c r="B94" s="368" t="e">
        <f>COMPOSIÇÕES!#REF!</f>
        <v>#REF!</v>
      </c>
      <c r="C94" s="371" t="e">
        <f>COMPOSIÇÕES!#REF!</f>
        <v>#REF!</v>
      </c>
      <c r="D94" s="372" t="e">
        <f>COMPOSIÇÕES!#REF!</f>
        <v>#REF!</v>
      </c>
      <c r="E94" s="370">
        <f>2+ 1</f>
        <v>3</v>
      </c>
      <c r="F94" s="365">
        <v>3.86</v>
      </c>
      <c r="G94" s="365"/>
      <c r="H94" s="365"/>
      <c r="I94" s="365"/>
      <c r="J94" s="365"/>
      <c r="K94" s="365">
        <v>3.55</v>
      </c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365"/>
      <c r="AC94" s="365"/>
      <c r="AD94" s="365"/>
      <c r="AE94" s="365"/>
      <c r="AF94" s="365">
        <v>5.92</v>
      </c>
      <c r="AG94" s="365"/>
      <c r="AH94" s="365"/>
      <c r="AI94" s="365"/>
      <c r="AJ94" s="365"/>
      <c r="AK94" s="365"/>
      <c r="AL94" s="365"/>
      <c r="AM94" s="463"/>
      <c r="AN94" s="461">
        <f t="shared" si="1"/>
        <v>3.86</v>
      </c>
      <c r="AO94" s="366"/>
      <c r="AP94" s="367"/>
    </row>
    <row r="95" spans="1:42" s="335" customFormat="1" ht="28.8">
      <c r="A95" s="460" t="s">
        <v>990</v>
      </c>
      <c r="B95" s="368" t="e">
        <f>COMPOSIÇÕES!#REF!</f>
        <v>#REF!</v>
      </c>
      <c r="C95" s="371" t="e">
        <f>COMPOSIÇÕES!#REF!</f>
        <v>#REF!</v>
      </c>
      <c r="D95" s="372" t="e">
        <f>COMPOSIÇÕES!#REF!</f>
        <v>#REF!</v>
      </c>
      <c r="E95" s="370">
        <f>1</f>
        <v>1</v>
      </c>
      <c r="F95" s="365"/>
      <c r="G95" s="365"/>
      <c r="H95" s="365"/>
      <c r="I95" s="365"/>
      <c r="J95" s="365">
        <v>2.2999999999999998</v>
      </c>
      <c r="K95" s="365">
        <v>4.43</v>
      </c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>
        <v>3.65</v>
      </c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463"/>
      <c r="AN95" s="461">
        <f t="shared" si="1"/>
        <v>3.65</v>
      </c>
      <c r="AO95" s="366"/>
      <c r="AP95" s="367"/>
    </row>
    <row r="96" spans="1:42" s="335" customFormat="1" ht="28.8">
      <c r="A96" s="460" t="s">
        <v>992</v>
      </c>
      <c r="B96" s="368" t="e">
        <f>COMPOSIÇÕES!#REF!</f>
        <v>#REF!</v>
      </c>
      <c r="C96" s="371" t="e">
        <f>COMPOSIÇÕES!#REF!</f>
        <v>#REF!</v>
      </c>
      <c r="D96" s="372" t="e">
        <f>COMPOSIÇÕES!#REF!</f>
        <v>#REF!</v>
      </c>
      <c r="E96" s="370">
        <f>5</f>
        <v>5</v>
      </c>
      <c r="F96" s="365"/>
      <c r="G96" s="365"/>
      <c r="H96" s="365"/>
      <c r="I96" s="365"/>
      <c r="J96" s="365">
        <v>0.92</v>
      </c>
      <c r="K96" s="365">
        <v>1.22</v>
      </c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>
        <v>4.75</v>
      </c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463"/>
      <c r="AN96" s="461">
        <f t="shared" si="1"/>
        <v>1.22</v>
      </c>
      <c r="AO96" s="366"/>
      <c r="AP96" s="367"/>
    </row>
    <row r="97" spans="1:42" s="335" customFormat="1" ht="28.8">
      <c r="A97" s="460" t="s">
        <v>993</v>
      </c>
      <c r="B97" s="368" t="e">
        <f>COMPOSIÇÕES!#REF!</f>
        <v>#REF!</v>
      </c>
      <c r="C97" s="371" t="e">
        <f>COMPOSIÇÕES!#REF!</f>
        <v>#REF!</v>
      </c>
      <c r="D97" s="372" t="e">
        <f>COMPOSIÇÕES!#REF!</f>
        <v>#REF!</v>
      </c>
      <c r="E97" s="370">
        <f>4</f>
        <v>4</v>
      </c>
      <c r="F97" s="365"/>
      <c r="G97" s="365"/>
      <c r="H97" s="365"/>
      <c r="I97" s="365"/>
      <c r="J97" s="365">
        <v>1.6</v>
      </c>
      <c r="K97" s="365">
        <v>2.2000000000000002</v>
      </c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>
        <v>9.1</v>
      </c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463"/>
      <c r="AN97" s="461">
        <f t="shared" si="1"/>
        <v>2.2000000000000002</v>
      </c>
      <c r="AO97" s="366"/>
      <c r="AP97" s="367"/>
    </row>
    <row r="98" spans="1:42" s="335" customFormat="1" ht="28.8">
      <c r="A98" s="460" t="s">
        <v>994</v>
      </c>
      <c r="B98" s="368" t="e">
        <f>COMPOSIÇÕES!#REF!</f>
        <v>#REF!</v>
      </c>
      <c r="C98" s="371" t="e">
        <f>COMPOSIÇÕES!#REF!</f>
        <v>#REF!</v>
      </c>
      <c r="D98" s="372" t="e">
        <f>COMPOSIÇÕES!#REF!</f>
        <v>#REF!</v>
      </c>
      <c r="E98" s="370">
        <f>15</f>
        <v>15</v>
      </c>
      <c r="F98" s="365"/>
      <c r="G98" s="365"/>
      <c r="H98" s="365"/>
      <c r="I98" s="365"/>
      <c r="J98" s="365">
        <v>0.95</v>
      </c>
      <c r="K98" s="365">
        <v>1.2</v>
      </c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>
        <v>2.4</v>
      </c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463"/>
      <c r="AN98" s="461">
        <f t="shared" si="1"/>
        <v>1.2</v>
      </c>
      <c r="AO98" s="366"/>
      <c r="AP98" s="367"/>
    </row>
    <row r="99" spans="1:42" s="335" customFormat="1" ht="28.8">
      <c r="A99" s="460" t="s">
        <v>995</v>
      </c>
      <c r="B99" s="368" t="e">
        <f>COMPOSIÇÕES!#REF!</f>
        <v>#REF!</v>
      </c>
      <c r="C99" s="371" t="e">
        <f>COMPOSIÇÕES!#REF!</f>
        <v>#REF!</v>
      </c>
      <c r="D99" s="372" t="e">
        <f>COMPOSIÇÕES!#REF!</f>
        <v>#REF!</v>
      </c>
      <c r="E99" s="370">
        <f>36</f>
        <v>36</v>
      </c>
      <c r="F99" s="365"/>
      <c r="G99" s="365"/>
      <c r="H99" s="365"/>
      <c r="I99" s="365"/>
      <c r="J99" s="365">
        <v>0.26</v>
      </c>
      <c r="K99" s="365"/>
      <c r="L99" s="365"/>
      <c r="M99" s="365"/>
      <c r="N99" s="365"/>
      <c r="O99" s="365"/>
      <c r="P99" s="365">
        <v>0.25</v>
      </c>
      <c r="Q99" s="365"/>
      <c r="R99" s="365"/>
      <c r="S99" s="365"/>
      <c r="T99" s="365"/>
      <c r="U99" s="365"/>
      <c r="V99" s="365"/>
      <c r="W99" s="365"/>
      <c r="X99" s="365"/>
      <c r="Y99" s="365">
        <v>0.51</v>
      </c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463"/>
      <c r="AN99" s="461">
        <f t="shared" si="1"/>
        <v>0.26</v>
      </c>
      <c r="AO99" s="366"/>
      <c r="AP99" s="367"/>
    </row>
    <row r="100" spans="1:42" s="335" customFormat="1" ht="28.8">
      <c r="A100" s="460" t="s">
        <v>996</v>
      </c>
      <c r="B100" s="368" t="e">
        <f>COMPOSIÇÕES!#REF!</f>
        <v>#REF!</v>
      </c>
      <c r="C100" s="371" t="e">
        <f>COMPOSIÇÕES!#REF!</f>
        <v>#REF!</v>
      </c>
      <c r="D100" s="372" t="e">
        <f>COMPOSIÇÕES!#REF!</f>
        <v>#REF!</v>
      </c>
      <c r="E100" s="370">
        <f>15</f>
        <v>15</v>
      </c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>
        <v>0.31</v>
      </c>
      <c r="Q100" s="365"/>
      <c r="R100" s="365"/>
      <c r="S100" s="365"/>
      <c r="T100" s="365"/>
      <c r="U100" s="365"/>
      <c r="V100" s="365"/>
      <c r="W100" s="365"/>
      <c r="X100" s="365"/>
      <c r="Y100" s="365">
        <v>0.54</v>
      </c>
      <c r="Z100" s="365"/>
      <c r="AA100" s="365"/>
      <c r="AB100" s="365"/>
      <c r="AC100" s="365"/>
      <c r="AD100" s="365"/>
      <c r="AE100" s="365"/>
      <c r="AF100" s="365"/>
      <c r="AG100" s="365">
        <v>0.6</v>
      </c>
      <c r="AH100" s="365"/>
      <c r="AI100" s="365"/>
      <c r="AJ100" s="365"/>
      <c r="AK100" s="365"/>
      <c r="AL100" s="365"/>
      <c r="AM100" s="463"/>
      <c r="AN100" s="461">
        <f t="shared" si="1"/>
        <v>0.54</v>
      </c>
      <c r="AO100" s="366"/>
      <c r="AP100" s="367"/>
    </row>
    <row r="101" spans="1:42" s="335" customFormat="1" ht="28.8">
      <c r="A101" s="460" t="s">
        <v>997</v>
      </c>
      <c r="B101" s="368" t="e">
        <f>COMPOSIÇÕES!#REF!</f>
        <v>#REF!</v>
      </c>
      <c r="C101" s="371" t="e">
        <f>COMPOSIÇÕES!#REF!</f>
        <v>#REF!</v>
      </c>
      <c r="D101" s="372" t="e">
        <f>COMPOSIÇÕES!#REF!</f>
        <v>#REF!</v>
      </c>
      <c r="E101" s="370">
        <f>51</f>
        <v>51</v>
      </c>
      <c r="F101" s="365"/>
      <c r="G101" s="365"/>
      <c r="H101" s="365"/>
      <c r="I101" s="365"/>
      <c r="J101" s="365">
        <v>0.1</v>
      </c>
      <c r="K101" s="365">
        <v>0.11</v>
      </c>
      <c r="L101" s="365"/>
      <c r="M101" s="365"/>
      <c r="N101" s="365"/>
      <c r="O101" s="365"/>
      <c r="P101" s="365">
        <v>0.06</v>
      </c>
      <c r="Q101" s="365"/>
      <c r="R101" s="365"/>
      <c r="S101" s="365"/>
      <c r="T101" s="365"/>
      <c r="U101" s="365"/>
      <c r="V101" s="365"/>
      <c r="W101" s="365"/>
      <c r="X101" s="365"/>
      <c r="Y101" s="365">
        <v>0.14000000000000001</v>
      </c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5"/>
      <c r="AL101" s="365"/>
      <c r="AM101" s="463"/>
      <c r="AN101" s="461">
        <f t="shared" si="1"/>
        <v>0.10500000000000001</v>
      </c>
      <c r="AO101" s="366"/>
      <c r="AP101" s="367"/>
    </row>
    <row r="102" spans="1:42" s="335" customFormat="1" ht="28.8">
      <c r="A102" s="460" t="s">
        <v>998</v>
      </c>
      <c r="B102" s="368" t="e">
        <f>COMPOSIÇÕES!#REF!</f>
        <v>#REF!</v>
      </c>
      <c r="C102" s="371" t="e">
        <f>COMPOSIÇÕES!#REF!</f>
        <v>#REF!</v>
      </c>
      <c r="D102" s="372" t="e">
        <f>COMPOSIÇÕES!#REF!</f>
        <v>#REF!</v>
      </c>
      <c r="E102" s="370">
        <f>1</f>
        <v>1</v>
      </c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>
        <v>64.5</v>
      </c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>
        <v>17.95</v>
      </c>
      <c r="AK102" s="365"/>
      <c r="AL102" s="365"/>
      <c r="AM102" s="463"/>
      <c r="AN102" s="461">
        <f t="shared" si="1"/>
        <v>41.224999999999994</v>
      </c>
      <c r="AO102" s="366"/>
      <c r="AP102" s="367"/>
    </row>
    <row r="103" spans="1:42" s="335" customFormat="1" ht="28.8">
      <c r="A103" s="460" t="s">
        <v>999</v>
      </c>
      <c r="B103" s="368" t="e">
        <f>COMPOSIÇÕES!#REF!</f>
        <v>#REF!</v>
      </c>
      <c r="C103" s="371" t="e">
        <f>COMPOSIÇÕES!#REF!</f>
        <v>#REF!</v>
      </c>
      <c r="D103" s="372" t="e">
        <f>COMPOSIÇÕES!#REF!</f>
        <v>#REF!</v>
      </c>
      <c r="E103" s="370">
        <f>2+ 1</f>
        <v>3</v>
      </c>
      <c r="F103" s="365"/>
      <c r="G103" s="365"/>
      <c r="H103" s="365"/>
      <c r="I103" s="365"/>
      <c r="J103" s="365">
        <v>2.76</v>
      </c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>
        <v>5.81</v>
      </c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463"/>
      <c r="AN103" s="461">
        <f t="shared" si="1"/>
        <v>4.2850000000000001</v>
      </c>
      <c r="AO103" s="366"/>
      <c r="AP103" s="367"/>
    </row>
    <row r="104" spans="1:42" s="335" customFormat="1" ht="28.8">
      <c r="A104" s="460" t="s">
        <v>1000</v>
      </c>
      <c r="B104" s="368" t="e">
        <f>COMPOSIÇÕES!#REF!</f>
        <v>#REF!</v>
      </c>
      <c r="C104" s="371" t="e">
        <f>COMPOSIÇÕES!#REF!</f>
        <v>#REF!</v>
      </c>
      <c r="D104" s="372" t="e">
        <f>COMPOSIÇÕES!#REF!</f>
        <v>#REF!</v>
      </c>
      <c r="E104" s="370">
        <f>2</f>
        <v>2</v>
      </c>
      <c r="F104" s="365"/>
      <c r="G104" s="365"/>
      <c r="H104" s="365"/>
      <c r="I104" s="365"/>
      <c r="J104" s="365">
        <v>5.28</v>
      </c>
      <c r="K104" s="365">
        <v>5.6</v>
      </c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>
        <v>8.9</v>
      </c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5"/>
      <c r="AL104" s="365"/>
      <c r="AM104" s="463"/>
      <c r="AN104" s="461">
        <f t="shared" si="1"/>
        <v>5.6</v>
      </c>
      <c r="AO104" s="366"/>
      <c r="AP104" s="367"/>
    </row>
    <row r="105" spans="1:42" s="335" customFormat="1" ht="28.8">
      <c r="A105" s="460" t="s">
        <v>1001</v>
      </c>
      <c r="B105" s="368" t="e">
        <f>COMPOSIÇÕES!#REF!</f>
        <v>#REF!</v>
      </c>
      <c r="C105" s="371" t="e">
        <f>COMPOSIÇÕES!#REF!</f>
        <v>#REF!</v>
      </c>
      <c r="D105" s="372" t="e">
        <f>COMPOSIÇÕES!#REF!</f>
        <v>#REF!</v>
      </c>
      <c r="E105" s="370">
        <f>14+ 1</f>
        <v>15</v>
      </c>
      <c r="F105" s="365"/>
      <c r="G105" s="365"/>
      <c r="H105" s="365"/>
      <c r="I105" s="365"/>
      <c r="J105" s="365">
        <v>52.36</v>
      </c>
      <c r="K105" s="365">
        <v>20.95</v>
      </c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>
        <v>39.54</v>
      </c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5"/>
      <c r="AL105" s="365"/>
      <c r="AM105" s="463"/>
      <c r="AN105" s="461">
        <f t="shared" si="1"/>
        <v>39.54</v>
      </c>
      <c r="AO105" s="366"/>
      <c r="AP105" s="367"/>
    </row>
    <row r="106" spans="1:42" s="335" customFormat="1" ht="28.8">
      <c r="A106" s="460" t="s">
        <v>1002</v>
      </c>
      <c r="B106" s="368" t="e">
        <f>COMPOSIÇÕES!#REF!</f>
        <v>#REF!</v>
      </c>
      <c r="C106" s="371" t="e">
        <f>COMPOSIÇÕES!#REF!</f>
        <v>#REF!</v>
      </c>
      <c r="D106" s="372" t="e">
        <f>COMPOSIÇÕES!#REF!</f>
        <v>#REF!</v>
      </c>
      <c r="E106" s="370">
        <f>1</f>
        <v>1</v>
      </c>
      <c r="F106" s="365"/>
      <c r="G106" s="365">
        <v>15878.6</v>
      </c>
      <c r="H106" s="365">
        <v>8332.5300000000007</v>
      </c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463">
        <v>8384.82</v>
      </c>
      <c r="AN106" s="461">
        <f t="shared" si="1"/>
        <v>8384.82</v>
      </c>
      <c r="AO106" s="366"/>
      <c r="AP106" s="367"/>
    </row>
    <row r="107" spans="1:42" s="335" customFormat="1" ht="28.8">
      <c r="A107" s="460" t="s">
        <v>1003</v>
      </c>
      <c r="B107" s="368" t="e">
        <f>COMPOSIÇÕES!#REF!</f>
        <v>#REF!</v>
      </c>
      <c r="C107" s="371" t="e">
        <f>COMPOSIÇÕES!#REF!</f>
        <v>#REF!</v>
      </c>
      <c r="D107" s="372" t="e">
        <f>COMPOSIÇÕES!#REF!</f>
        <v>#REF!</v>
      </c>
      <c r="E107" s="370">
        <f>1</f>
        <v>1</v>
      </c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>
        <v>11.3</v>
      </c>
      <c r="Z107" s="365"/>
      <c r="AA107" s="365"/>
      <c r="AB107" s="365">
        <v>11.9</v>
      </c>
      <c r="AC107" s="365"/>
      <c r="AD107" s="365"/>
      <c r="AE107" s="365"/>
      <c r="AF107" s="365"/>
      <c r="AG107" s="365"/>
      <c r="AH107" s="365"/>
      <c r="AI107" s="365"/>
      <c r="AJ107" s="365">
        <v>5.5</v>
      </c>
      <c r="AK107" s="365"/>
      <c r="AL107" s="365"/>
      <c r="AM107" s="463"/>
      <c r="AN107" s="461">
        <f t="shared" si="1"/>
        <v>11.3</v>
      </c>
      <c r="AO107" s="366"/>
      <c r="AP107" s="367"/>
    </row>
    <row r="108" spans="1:42" s="335" customFormat="1" ht="28.8">
      <c r="A108" s="460" t="s">
        <v>1004</v>
      </c>
      <c r="B108" s="368" t="e">
        <f>COMPOSIÇÕES!#REF!</f>
        <v>#REF!</v>
      </c>
      <c r="C108" s="371" t="e">
        <f>COMPOSIÇÕES!#REF!</f>
        <v>#REF!</v>
      </c>
      <c r="D108" s="372" t="e">
        <f>COMPOSIÇÕES!#REF!</f>
        <v>#REF!</v>
      </c>
      <c r="E108" s="370">
        <f>1</f>
        <v>1</v>
      </c>
      <c r="F108" s="365">
        <v>34.229999999999997</v>
      </c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>
        <v>70.2</v>
      </c>
      <c r="Z108" s="365"/>
      <c r="AA108" s="365"/>
      <c r="AB108" s="365"/>
      <c r="AC108" s="365"/>
      <c r="AD108" s="365"/>
      <c r="AE108" s="365"/>
      <c r="AF108" s="365"/>
      <c r="AG108" s="365"/>
      <c r="AH108" s="365">
        <v>63.64</v>
      </c>
      <c r="AI108" s="365"/>
      <c r="AJ108" s="365"/>
      <c r="AK108" s="365"/>
      <c r="AL108" s="365"/>
      <c r="AM108" s="463"/>
      <c r="AN108" s="461">
        <f t="shared" si="1"/>
        <v>63.64</v>
      </c>
      <c r="AO108" s="366"/>
      <c r="AP108" s="367"/>
    </row>
    <row r="109" spans="1:42" s="335" customFormat="1" ht="28.8">
      <c r="A109" s="460" t="s">
        <v>1005</v>
      </c>
      <c r="B109" s="368" t="e">
        <f>COMPOSIÇÕES!#REF!</f>
        <v>#REF!</v>
      </c>
      <c r="C109" s="371" t="e">
        <f>COMPOSIÇÕES!#REF!</f>
        <v>#REF!</v>
      </c>
      <c r="D109" s="372" t="e">
        <f>COMPOSIÇÕES!#REF!</f>
        <v>#REF!</v>
      </c>
      <c r="E109" s="370">
        <f>1</f>
        <v>1</v>
      </c>
      <c r="F109" s="365">
        <v>28.27</v>
      </c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>
        <v>63.5</v>
      </c>
      <c r="Z109" s="365"/>
      <c r="AA109" s="365"/>
      <c r="AB109" s="365"/>
      <c r="AC109" s="365"/>
      <c r="AD109" s="365"/>
      <c r="AE109" s="365"/>
      <c r="AF109" s="365"/>
      <c r="AG109" s="365"/>
      <c r="AH109" s="365">
        <v>62.31</v>
      </c>
      <c r="AI109" s="365"/>
      <c r="AJ109" s="365"/>
      <c r="AK109" s="365"/>
      <c r="AL109" s="365"/>
      <c r="AM109" s="463"/>
      <c r="AN109" s="461">
        <f t="shared" si="1"/>
        <v>62.31</v>
      </c>
      <c r="AO109" s="366"/>
      <c r="AP109" s="367"/>
    </row>
    <row r="110" spans="1:42" s="335" customFormat="1" ht="28.8">
      <c r="A110" s="460" t="s">
        <v>1007</v>
      </c>
      <c r="B110" s="368" t="e">
        <f>COMPOSIÇÕES!#REF!</f>
        <v>#REF!</v>
      </c>
      <c r="C110" s="371" t="e">
        <f>COMPOSIÇÕES!#REF!</f>
        <v>#REF!</v>
      </c>
      <c r="D110" s="372" t="e">
        <f>COMPOSIÇÕES!#REF!</f>
        <v>#REF!</v>
      </c>
      <c r="E110" s="370">
        <f>1</f>
        <v>1</v>
      </c>
      <c r="F110" s="365"/>
      <c r="G110" s="365">
        <v>5853.96</v>
      </c>
      <c r="H110" s="365">
        <v>4265.4399999999996</v>
      </c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463">
        <v>3559.93</v>
      </c>
      <c r="AN110" s="461">
        <f t="shared" si="1"/>
        <v>4265.4399999999996</v>
      </c>
      <c r="AO110" s="366"/>
      <c r="AP110" s="367"/>
    </row>
    <row r="111" spans="1:42" s="335" customFormat="1" ht="28.8">
      <c r="A111" s="460" t="s">
        <v>1008</v>
      </c>
      <c r="B111" s="368" t="e">
        <f>COMPOSIÇÕES!#REF!</f>
        <v>#REF!</v>
      </c>
      <c r="C111" s="371" t="e">
        <f>COMPOSIÇÕES!#REF!</f>
        <v>#REF!</v>
      </c>
      <c r="D111" s="372" t="e">
        <f>COMPOSIÇÕES!#REF!</f>
        <v>#REF!</v>
      </c>
      <c r="E111" s="370">
        <f>1</f>
        <v>1</v>
      </c>
      <c r="F111" s="365"/>
      <c r="G111" s="365">
        <v>5535.4</v>
      </c>
      <c r="H111" s="365">
        <v>3949.22</v>
      </c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5"/>
      <c r="AI111" s="365"/>
      <c r="AJ111" s="365"/>
      <c r="AK111" s="365"/>
      <c r="AL111" s="365"/>
      <c r="AM111" s="463">
        <v>3515.17</v>
      </c>
      <c r="AN111" s="461">
        <f t="shared" si="1"/>
        <v>3949.22</v>
      </c>
      <c r="AO111" s="366"/>
      <c r="AP111" s="367"/>
    </row>
    <row r="112" spans="1:42" s="335" customFormat="1" ht="28.8">
      <c r="A112" s="460" t="s">
        <v>1009</v>
      </c>
      <c r="B112" s="368" t="e">
        <f>COMPOSIÇÕES!#REF!</f>
        <v>#REF!</v>
      </c>
      <c r="C112" s="371" t="e">
        <f>COMPOSIÇÕES!#REF!</f>
        <v>#REF!</v>
      </c>
      <c r="D112" s="372" t="e">
        <f>COMPOSIÇÕES!#REF!</f>
        <v>#REF!</v>
      </c>
      <c r="E112" s="370">
        <f>1</f>
        <v>1</v>
      </c>
      <c r="F112" s="365"/>
      <c r="G112" s="365">
        <v>5218.54</v>
      </c>
      <c r="H112" s="365">
        <v>3669.11</v>
      </c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5"/>
      <c r="AI112" s="365"/>
      <c r="AJ112" s="365"/>
      <c r="AK112" s="365"/>
      <c r="AL112" s="365"/>
      <c r="AM112" s="463">
        <v>3320.94</v>
      </c>
      <c r="AN112" s="461">
        <f t="shared" si="1"/>
        <v>3669.11</v>
      </c>
      <c r="AO112" s="366"/>
      <c r="AP112" s="367"/>
    </row>
    <row r="113" spans="1:42" s="335" customFormat="1" ht="28.8">
      <c r="A113" s="460" t="s">
        <v>1010</v>
      </c>
      <c r="B113" s="368" t="e">
        <f>COMPOSIÇÕES!#REF!</f>
        <v>#REF!</v>
      </c>
      <c r="C113" s="371" t="e">
        <f>COMPOSIÇÕES!#REF!</f>
        <v>#REF!</v>
      </c>
      <c r="D113" s="372" t="e">
        <f>COMPOSIÇÕES!#REF!</f>
        <v>#REF!</v>
      </c>
      <c r="E113" s="370">
        <f>1</f>
        <v>1</v>
      </c>
      <c r="F113" s="365"/>
      <c r="G113" s="365">
        <v>5147.37</v>
      </c>
      <c r="H113" s="365">
        <v>3597.23</v>
      </c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  <c r="AG113" s="365"/>
      <c r="AH113" s="365"/>
      <c r="AI113" s="365"/>
      <c r="AJ113" s="365"/>
      <c r="AK113" s="365"/>
      <c r="AL113" s="365"/>
      <c r="AM113" s="463">
        <v>3269.74</v>
      </c>
      <c r="AN113" s="461">
        <f t="shared" si="1"/>
        <v>3597.23</v>
      </c>
      <c r="AO113" s="366"/>
      <c r="AP113" s="367"/>
    </row>
    <row r="114" spans="1:42" s="335" customFormat="1" ht="28.8">
      <c r="A114" s="460" t="s">
        <v>1006</v>
      </c>
      <c r="B114" s="368" t="e">
        <f>COMPOSIÇÕES!#REF!</f>
        <v>#REF!</v>
      </c>
      <c r="C114" s="371" t="e">
        <f>COMPOSIÇÕES!#REF!</f>
        <v>#REF!</v>
      </c>
      <c r="D114" s="372" t="e">
        <f>COMPOSIÇÕES!#REF!</f>
        <v>#REF!</v>
      </c>
      <c r="E114" s="370">
        <f>1</f>
        <v>1</v>
      </c>
      <c r="F114" s="365"/>
      <c r="G114" s="365"/>
      <c r="H114" s="365"/>
      <c r="I114" s="365"/>
      <c r="J114" s="365">
        <v>5.25</v>
      </c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>
        <v>9.1</v>
      </c>
      <c r="Z114" s="365"/>
      <c r="AA114" s="365"/>
      <c r="AB114" s="365"/>
      <c r="AC114" s="365"/>
      <c r="AD114" s="365"/>
      <c r="AE114" s="365"/>
      <c r="AF114" s="365"/>
      <c r="AG114" s="365"/>
      <c r="AH114" s="365"/>
      <c r="AI114" s="365"/>
      <c r="AJ114" s="365"/>
      <c r="AK114" s="365"/>
      <c r="AL114" s="365"/>
      <c r="AM114" s="463"/>
      <c r="AN114" s="461">
        <f t="shared" si="1"/>
        <v>7.1749999999999998</v>
      </c>
      <c r="AO114" s="366"/>
      <c r="AP114" s="367"/>
    </row>
    <row r="115" spans="1:42" s="335" customFormat="1" ht="28.8">
      <c r="A115" s="460" t="s">
        <v>1011</v>
      </c>
      <c r="B115" s="368" t="e">
        <f>COMPOSIÇÕES!#REF!</f>
        <v>#REF!</v>
      </c>
      <c r="C115" s="371" t="e">
        <f>COMPOSIÇÕES!#REF!</f>
        <v>#REF!</v>
      </c>
      <c r="D115" s="372" t="e">
        <f>COMPOSIÇÕES!#REF!</f>
        <v>#REF!</v>
      </c>
      <c r="E115" s="370">
        <f>1</f>
        <v>1</v>
      </c>
      <c r="F115" s="365"/>
      <c r="G115" s="365">
        <v>7742.08</v>
      </c>
      <c r="H115" s="365">
        <v>5639.18</v>
      </c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J115" s="365"/>
      <c r="AK115" s="365"/>
      <c r="AL115" s="365"/>
      <c r="AM115" s="463">
        <v>5677.83</v>
      </c>
      <c r="AN115" s="461">
        <f t="shared" si="1"/>
        <v>5677.83</v>
      </c>
      <c r="AO115" s="366"/>
      <c r="AP115" s="367"/>
    </row>
    <row r="116" spans="1:42" s="335" customFormat="1" ht="28.8">
      <c r="A116" s="460" t="s">
        <v>946</v>
      </c>
      <c r="B116" s="368" t="e">
        <f>COMPOSIÇÕES!#REF!</f>
        <v>#REF!</v>
      </c>
      <c r="C116" s="371" t="e">
        <f>COMPOSIÇÕES!#REF!</f>
        <v>#REF!</v>
      </c>
      <c r="D116" s="372" t="e">
        <f>COMPOSIÇÕES!#REF!</f>
        <v>#REF!</v>
      </c>
      <c r="E116" s="370">
        <f>15</f>
        <v>15</v>
      </c>
      <c r="F116" s="365">
        <v>3.92</v>
      </c>
      <c r="G116" s="365"/>
      <c r="H116" s="365"/>
      <c r="I116" s="365"/>
      <c r="J116" s="365"/>
      <c r="K116" s="365">
        <v>9.3000000000000007</v>
      </c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>
        <v>13.6</v>
      </c>
      <c r="Z116" s="365"/>
      <c r="AA116" s="365"/>
      <c r="AB116" s="365"/>
      <c r="AC116" s="365"/>
      <c r="AD116" s="365"/>
      <c r="AE116" s="365"/>
      <c r="AF116" s="365"/>
      <c r="AG116" s="365"/>
      <c r="AH116" s="365">
        <v>9.6</v>
      </c>
      <c r="AI116" s="365"/>
      <c r="AJ116" s="365"/>
      <c r="AK116" s="365"/>
      <c r="AL116" s="365"/>
      <c r="AM116" s="463"/>
      <c r="AN116" s="461">
        <f t="shared" si="1"/>
        <v>9.4499999999999993</v>
      </c>
      <c r="AO116" s="366"/>
      <c r="AP116" s="367"/>
    </row>
    <row r="117" spans="1:42" s="335" customFormat="1" ht="28.8">
      <c r="A117" s="460" t="s">
        <v>947</v>
      </c>
      <c r="B117" s="368" t="e">
        <f>COMPOSIÇÕES!#REF!</f>
        <v>#REF!</v>
      </c>
      <c r="C117" s="371" t="e">
        <f>COMPOSIÇÕES!#REF!</f>
        <v>#REF!</v>
      </c>
      <c r="D117" s="372" t="e">
        <f>COMPOSIÇÕES!#REF!</f>
        <v>#REF!</v>
      </c>
      <c r="E117" s="370">
        <f>1</f>
        <v>1</v>
      </c>
      <c r="F117" s="365"/>
      <c r="G117" s="365">
        <v>18908.41</v>
      </c>
      <c r="H117" s="365">
        <v>10671.9</v>
      </c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J117" s="365"/>
      <c r="AK117" s="365"/>
      <c r="AL117" s="365"/>
      <c r="AM117" s="463">
        <v>10127.25</v>
      </c>
      <c r="AN117" s="461">
        <f t="shared" si="1"/>
        <v>10671.9</v>
      </c>
      <c r="AO117" s="366"/>
      <c r="AP117" s="367"/>
    </row>
    <row r="118" spans="1:42" s="335" customFormat="1" ht="28.8">
      <c r="A118" s="460" t="s">
        <v>948</v>
      </c>
      <c r="B118" s="368" t="e">
        <f>COMPOSIÇÕES!#REF!</f>
        <v>#REF!</v>
      </c>
      <c r="C118" s="371" t="e">
        <f>COMPOSIÇÕES!#REF!</f>
        <v>#REF!</v>
      </c>
      <c r="D118" s="372" t="e">
        <f>COMPOSIÇÕES!#REF!</f>
        <v>#REF!</v>
      </c>
      <c r="E118" s="370">
        <f>2+ 2+ 1</f>
        <v>5</v>
      </c>
      <c r="F118" s="365"/>
      <c r="G118" s="365"/>
      <c r="H118" s="365"/>
      <c r="I118" s="365"/>
      <c r="J118" s="365"/>
      <c r="K118" s="365">
        <v>52.31</v>
      </c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>
        <v>65.72</v>
      </c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>
        <v>48.4</v>
      </c>
      <c r="AL118" s="365"/>
      <c r="AM118" s="463"/>
      <c r="AN118" s="461">
        <f t="shared" si="1"/>
        <v>52.31</v>
      </c>
      <c r="AO118" s="366"/>
      <c r="AP118" s="367"/>
    </row>
    <row r="119" spans="1:42" s="335" customFormat="1" ht="28.8">
      <c r="A119" s="460" t="s">
        <v>949</v>
      </c>
      <c r="B119" s="368" t="e">
        <f>COMPOSIÇÕES!#REF!</f>
        <v>#REF!</v>
      </c>
      <c r="C119" s="371" t="e">
        <f>COMPOSIÇÕES!#REF!</f>
        <v>#REF!</v>
      </c>
      <c r="D119" s="372" t="e">
        <f>COMPOSIÇÕES!#REF!</f>
        <v>#REF!</v>
      </c>
      <c r="E119" s="370">
        <f>1+ 1+ 1+ 1</f>
        <v>4</v>
      </c>
      <c r="F119" s="365"/>
      <c r="G119" s="365"/>
      <c r="H119" s="365"/>
      <c r="I119" s="365"/>
      <c r="J119" s="365"/>
      <c r="K119" s="365">
        <f>11.05*2</f>
        <v>22.1</v>
      </c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>
        <v>72.3</v>
      </c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  <c r="AJ119" s="365">
        <v>9.5</v>
      </c>
      <c r="AK119" s="365"/>
      <c r="AL119" s="365"/>
      <c r="AM119" s="463"/>
      <c r="AN119" s="461">
        <f t="shared" si="1"/>
        <v>22.1</v>
      </c>
      <c r="AO119" s="366"/>
      <c r="AP119" s="367"/>
    </row>
    <row r="120" spans="1:42" s="335" customFormat="1" ht="28.8">
      <c r="A120" s="460" t="s">
        <v>950</v>
      </c>
      <c r="B120" s="368" t="e">
        <f>COMPOSIÇÕES!#REF!</f>
        <v>#REF!</v>
      </c>
      <c r="C120" s="371" t="e">
        <f>COMPOSIÇÕES!#REF!</f>
        <v>#REF!</v>
      </c>
      <c r="D120" s="372" t="e">
        <f>COMPOSIÇÕES!#REF!</f>
        <v>#REF!</v>
      </c>
      <c r="E120" s="370">
        <f>3+ 2+ 3+ 5+ 2</f>
        <v>15</v>
      </c>
      <c r="F120" s="365">
        <v>272.89</v>
      </c>
      <c r="G120" s="365"/>
      <c r="H120" s="365"/>
      <c r="I120" s="365"/>
      <c r="J120" s="365"/>
      <c r="K120" s="365">
        <v>215</v>
      </c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>
        <v>106.35</v>
      </c>
      <c r="AL120" s="365"/>
      <c r="AM120" s="463"/>
      <c r="AN120" s="461">
        <f t="shared" si="1"/>
        <v>215</v>
      </c>
      <c r="AO120" s="366"/>
      <c r="AP120" s="367"/>
    </row>
    <row r="121" spans="1:42" s="335" customFormat="1" ht="28.8">
      <c r="A121" s="460" t="s">
        <v>951</v>
      </c>
      <c r="B121" s="368" t="e">
        <f>COMPOSIÇÕES!#REF!</f>
        <v>#REF!</v>
      </c>
      <c r="C121" s="371" t="e">
        <f>COMPOSIÇÕES!#REF!</f>
        <v>#REF!</v>
      </c>
      <c r="D121" s="372" t="e">
        <f>COMPOSIÇÕES!#REF!</f>
        <v>#REF!</v>
      </c>
      <c r="E121" s="370">
        <f>1+ 1+ 1+ 1+ 3+ 1+ 1+ 2+ 1+ 1+ 2+ 1+ 2</f>
        <v>18</v>
      </c>
      <c r="F121" s="365"/>
      <c r="G121" s="365"/>
      <c r="H121" s="365"/>
      <c r="I121" s="365"/>
      <c r="J121" s="365"/>
      <c r="K121" s="365">
        <f>15.91*2</f>
        <v>31.82</v>
      </c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>
        <v>68.150000000000006</v>
      </c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>
        <v>16</v>
      </c>
      <c r="AK121" s="365"/>
      <c r="AL121" s="365"/>
      <c r="AM121" s="463"/>
      <c r="AN121" s="461">
        <f t="shared" si="1"/>
        <v>31.82</v>
      </c>
      <c r="AO121" s="366"/>
      <c r="AP121" s="367"/>
    </row>
    <row r="122" spans="1:42" s="335" customFormat="1" ht="28.8">
      <c r="A122" s="460" t="s">
        <v>952</v>
      </c>
      <c r="B122" s="368" t="e">
        <f>COMPOSIÇÕES!#REF!</f>
        <v>#REF!</v>
      </c>
      <c r="C122" s="371" t="e">
        <f>COMPOSIÇÕES!#REF!</f>
        <v>#REF!</v>
      </c>
      <c r="D122" s="372" t="e">
        <f>COMPOSIÇÕES!#REF!</f>
        <v>#REF!</v>
      </c>
      <c r="E122" s="370">
        <f>3+ 3</f>
        <v>6</v>
      </c>
      <c r="F122" s="365">
        <v>24.76</v>
      </c>
      <c r="G122" s="365"/>
      <c r="H122" s="365"/>
      <c r="I122" s="365"/>
      <c r="J122" s="365"/>
      <c r="K122" s="365">
        <v>27.75</v>
      </c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>
        <v>63.2</v>
      </c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463"/>
      <c r="AN122" s="461">
        <f t="shared" si="1"/>
        <v>27.75</v>
      </c>
      <c r="AO122" s="366"/>
      <c r="AP122" s="367"/>
    </row>
    <row r="123" spans="1:42" s="335" customFormat="1" ht="28.8">
      <c r="A123" s="460" t="s">
        <v>953</v>
      </c>
      <c r="B123" s="368" t="e">
        <f>COMPOSIÇÕES!#REF!</f>
        <v>#REF!</v>
      </c>
      <c r="C123" s="371" t="e">
        <f>COMPOSIÇÕES!#REF!</f>
        <v>#REF!</v>
      </c>
      <c r="D123" s="372" t="e">
        <f>COMPOSIÇÕES!#REF!</f>
        <v>#REF!</v>
      </c>
      <c r="E123" s="370">
        <f>1</f>
        <v>1</v>
      </c>
      <c r="F123" s="365"/>
      <c r="G123" s="365">
        <v>6280.19</v>
      </c>
      <c r="H123" s="365">
        <v>4398.24</v>
      </c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5"/>
      <c r="AM123" s="463">
        <v>4330.2</v>
      </c>
      <c r="AN123" s="461">
        <f t="shared" si="1"/>
        <v>4398.24</v>
      </c>
      <c r="AO123" s="366"/>
      <c r="AP123" s="367"/>
    </row>
    <row r="124" spans="1:42" s="335" customFormat="1" ht="28.8">
      <c r="A124" s="460" t="s">
        <v>955</v>
      </c>
      <c r="B124" s="368" t="e">
        <f>COMPOSIÇÕES!#REF!</f>
        <v>#REF!</v>
      </c>
      <c r="C124" s="371" t="e">
        <f>COMPOSIÇÕES!#REF!</f>
        <v>#REF!</v>
      </c>
      <c r="D124" s="372" t="e">
        <f>COMPOSIÇÕES!#REF!</f>
        <v>#REF!</v>
      </c>
      <c r="E124" s="370">
        <f>1+ 1+ 1+ 1+ 3</f>
        <v>7</v>
      </c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>
        <v>9.1</v>
      </c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463"/>
      <c r="AN124" s="461">
        <f t="shared" si="1"/>
        <v>9.1</v>
      </c>
      <c r="AO124" s="366"/>
      <c r="AP124" s="367"/>
    </row>
    <row r="125" spans="1:42" s="335" customFormat="1" ht="28.8">
      <c r="A125" s="460" t="s">
        <v>956</v>
      </c>
      <c r="B125" s="368" t="e">
        <f>COMPOSIÇÕES!#REF!</f>
        <v>#REF!</v>
      </c>
      <c r="C125" s="371" t="e">
        <f>COMPOSIÇÕES!#REF!</f>
        <v>#REF!</v>
      </c>
      <c r="D125" s="372" t="e">
        <f>COMPOSIÇÕES!#REF!</f>
        <v>#REF!</v>
      </c>
      <c r="E125" s="370">
        <f>1+ 1+ 1+ 1+ 1+ 2+ 1+ 3+ 1</f>
        <v>12</v>
      </c>
      <c r="F125" s="365">
        <v>27.08</v>
      </c>
      <c r="G125" s="365"/>
      <c r="H125" s="365"/>
      <c r="I125" s="365"/>
      <c r="J125" s="365"/>
      <c r="K125" s="365">
        <v>27.95</v>
      </c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>
        <v>117.43</v>
      </c>
      <c r="Z125" s="365"/>
      <c r="AA125" s="365"/>
      <c r="AB125" s="365"/>
      <c r="AC125" s="365"/>
      <c r="AD125" s="365"/>
      <c r="AE125" s="365"/>
      <c r="AF125" s="365"/>
      <c r="AG125" s="365"/>
      <c r="AH125" s="365"/>
      <c r="AI125" s="365"/>
      <c r="AJ125" s="365"/>
      <c r="AK125" s="365"/>
      <c r="AL125" s="365"/>
      <c r="AM125" s="463"/>
      <c r="AN125" s="461">
        <f t="shared" si="1"/>
        <v>27.95</v>
      </c>
      <c r="AO125" s="366"/>
      <c r="AP125" s="367"/>
    </row>
    <row r="126" spans="1:42" s="335" customFormat="1" ht="28.8">
      <c r="A126" s="460" t="s">
        <v>957</v>
      </c>
      <c r="B126" s="368" t="e">
        <f>COMPOSIÇÕES!#REF!</f>
        <v>#REF!</v>
      </c>
      <c r="C126" s="371" t="e">
        <f>COMPOSIÇÕES!#REF!</f>
        <v>#REF!</v>
      </c>
      <c r="D126" s="372" t="e">
        <f>COMPOSIÇÕES!#REF!</f>
        <v>#REF!</v>
      </c>
      <c r="E126" s="370">
        <f>1</f>
        <v>1</v>
      </c>
      <c r="F126" s="365"/>
      <c r="G126" s="365">
        <v>7727.91</v>
      </c>
      <c r="H126" s="365">
        <v>6189.25</v>
      </c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K126" s="365"/>
      <c r="AL126" s="365"/>
      <c r="AM126" s="463">
        <v>5449.24</v>
      </c>
      <c r="AN126" s="461">
        <f t="shared" si="1"/>
        <v>6189.25</v>
      </c>
      <c r="AO126" s="366"/>
      <c r="AP126" s="367"/>
    </row>
    <row r="127" spans="1:42" s="335" customFormat="1" ht="28.8">
      <c r="A127" s="460" t="s">
        <v>954</v>
      </c>
      <c r="B127" s="368" t="e">
        <f>COMPOSIÇÕES!#REF!</f>
        <v>#REF!</v>
      </c>
      <c r="C127" s="371" t="e">
        <f>COMPOSIÇÕES!#REF!</f>
        <v>#REF!</v>
      </c>
      <c r="D127" s="372" t="e">
        <f>COMPOSIÇÕES!#REF!</f>
        <v>#REF!</v>
      </c>
      <c r="E127" s="370">
        <f>1+ 2+ 2+ 3+ 10+ 6+ 1+ 1+ 1+ 1+ 2</f>
        <v>30</v>
      </c>
      <c r="F127" s="365">
        <v>1.33</v>
      </c>
      <c r="G127" s="365"/>
      <c r="H127" s="365"/>
      <c r="I127" s="365"/>
      <c r="J127" s="365"/>
      <c r="K127" s="365">
        <v>1.3</v>
      </c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>
        <v>2.04</v>
      </c>
      <c r="AG127" s="365"/>
      <c r="AH127" s="365"/>
      <c r="AI127" s="365"/>
      <c r="AJ127" s="365"/>
      <c r="AK127" s="365"/>
      <c r="AL127" s="365"/>
      <c r="AM127" s="463"/>
      <c r="AN127" s="461">
        <f t="shared" si="1"/>
        <v>1.33</v>
      </c>
      <c r="AO127" s="366"/>
      <c r="AP127" s="367"/>
    </row>
    <row r="128" spans="1:42" s="335" customFormat="1" ht="28.8">
      <c r="A128" s="460" t="s">
        <v>958</v>
      </c>
      <c r="B128" s="368" t="e">
        <f>COMPOSIÇÕES!#REF!</f>
        <v>#REF!</v>
      </c>
      <c r="C128" s="371" t="e">
        <f>COMPOSIÇÕES!#REF!</f>
        <v>#REF!</v>
      </c>
      <c r="D128" s="372" t="e">
        <f>COMPOSIÇÕES!#REF!</f>
        <v>#REF!</v>
      </c>
      <c r="E128" s="370">
        <f>1</f>
        <v>1</v>
      </c>
      <c r="F128" s="365"/>
      <c r="G128" s="365">
        <v>6173.43</v>
      </c>
      <c r="H128" s="365">
        <v>4573.34</v>
      </c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5"/>
      <c r="AK128" s="365"/>
      <c r="AL128" s="365"/>
      <c r="AM128" s="463">
        <v>3793.47</v>
      </c>
      <c r="AN128" s="461">
        <f t="shared" si="1"/>
        <v>4573.34</v>
      </c>
      <c r="AO128" s="366"/>
      <c r="AP128" s="367"/>
    </row>
    <row r="129" spans="1:42" s="335" customFormat="1" ht="28.8">
      <c r="A129" s="460" t="s">
        <v>959</v>
      </c>
      <c r="B129" s="368" t="e">
        <f>COMPOSIÇÕES!#REF!</f>
        <v>#REF!</v>
      </c>
      <c r="C129" s="371" t="e">
        <f>COMPOSIÇÕES!#REF!</f>
        <v>#REF!</v>
      </c>
      <c r="D129" s="372" t="e">
        <f>COMPOSIÇÕES!#REF!</f>
        <v>#REF!</v>
      </c>
      <c r="E129" s="370">
        <f>1+ 8+ 3+ 7+ 5+ 4+ 8+ 2+ 3</f>
        <v>41</v>
      </c>
      <c r="F129" s="365">
        <v>142.05000000000001</v>
      </c>
      <c r="G129" s="365"/>
      <c r="H129" s="365"/>
      <c r="I129" s="365"/>
      <c r="J129" s="365"/>
      <c r="K129" s="365">
        <v>136</v>
      </c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>
        <f>42.39*2</f>
        <v>84.78</v>
      </c>
      <c r="Z129" s="365"/>
      <c r="AA129" s="365"/>
      <c r="AB129" s="365"/>
      <c r="AC129" s="365"/>
      <c r="AD129" s="365"/>
      <c r="AE129" s="365"/>
      <c r="AF129" s="365"/>
      <c r="AG129" s="365"/>
      <c r="AH129" s="365"/>
      <c r="AI129" s="365"/>
      <c r="AJ129" s="365"/>
      <c r="AK129" s="365"/>
      <c r="AL129" s="365"/>
      <c r="AM129" s="463"/>
      <c r="AN129" s="461">
        <f t="shared" si="1"/>
        <v>136</v>
      </c>
      <c r="AO129" s="366"/>
      <c r="AP129" s="367"/>
    </row>
    <row r="130" spans="1:42" s="335" customFormat="1" ht="28.8">
      <c r="A130" s="460" t="s">
        <v>960</v>
      </c>
      <c r="B130" s="368" t="e">
        <f>COMPOSIÇÕES!#REF!</f>
        <v>#REF!</v>
      </c>
      <c r="C130" s="371" t="e">
        <f>COMPOSIÇÕES!#REF!</f>
        <v>#REF!</v>
      </c>
      <c r="D130" s="372" t="e">
        <f>COMPOSIÇÕES!#REF!</f>
        <v>#REF!</v>
      </c>
      <c r="E130" s="370">
        <f>1</f>
        <v>1</v>
      </c>
      <c r="F130" s="365"/>
      <c r="G130" s="365">
        <v>6633.17</v>
      </c>
      <c r="H130" s="365">
        <v>4800.07</v>
      </c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5"/>
      <c r="AE130" s="365"/>
      <c r="AF130" s="365"/>
      <c r="AG130" s="365"/>
      <c r="AH130" s="365"/>
      <c r="AI130" s="365"/>
      <c r="AJ130" s="365"/>
      <c r="AK130" s="365"/>
      <c r="AL130" s="365"/>
      <c r="AM130" s="463">
        <v>4367.1000000000004</v>
      </c>
      <c r="AN130" s="461">
        <f t="shared" si="1"/>
        <v>4800.07</v>
      </c>
      <c r="AO130" s="366"/>
      <c r="AP130" s="367"/>
    </row>
    <row r="131" spans="1:42" s="335" customFormat="1" ht="28.8">
      <c r="A131" s="460" t="s">
        <v>961</v>
      </c>
      <c r="B131" s="368" t="e">
        <f>COMPOSIÇÕES!#REF!</f>
        <v>#REF!</v>
      </c>
      <c r="C131" s="371" t="e">
        <f>COMPOSIÇÕES!#REF!</f>
        <v>#REF!</v>
      </c>
      <c r="D131" s="372" t="e">
        <f>COMPOSIÇÕES!#REF!</f>
        <v>#REF!</v>
      </c>
      <c r="E131" s="370">
        <f>1</f>
        <v>1</v>
      </c>
      <c r="F131" s="365"/>
      <c r="G131" s="365">
        <v>4659.08</v>
      </c>
      <c r="H131" s="365">
        <v>3155.51</v>
      </c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5"/>
      <c r="AM131" s="463">
        <v>3303.08</v>
      </c>
      <c r="AN131" s="461">
        <f t="shared" si="1"/>
        <v>3303.08</v>
      </c>
      <c r="AO131" s="366"/>
      <c r="AP131" s="367"/>
    </row>
    <row r="132" spans="1:42" s="335" customFormat="1" ht="28.8">
      <c r="A132" s="460" t="s">
        <v>962</v>
      </c>
      <c r="B132" s="368" t="e">
        <f>COMPOSIÇÕES!#REF!</f>
        <v>#REF!</v>
      </c>
      <c r="C132" s="371" t="e">
        <f>COMPOSIÇÕES!#REF!</f>
        <v>#REF!</v>
      </c>
      <c r="D132" s="372" t="e">
        <f>COMPOSIÇÕES!#REF!</f>
        <v>#REF!</v>
      </c>
      <c r="E132" s="370">
        <f>1</f>
        <v>1</v>
      </c>
      <c r="F132" s="365">
        <v>44.45</v>
      </c>
      <c r="G132" s="365"/>
      <c r="H132" s="365"/>
      <c r="I132" s="365"/>
      <c r="J132" s="365"/>
      <c r="K132" s="365">
        <f>27.3*2</f>
        <v>54.6</v>
      </c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>
        <v>36.9</v>
      </c>
      <c r="AD132" s="365"/>
      <c r="AE132" s="365"/>
      <c r="AF132" s="365"/>
      <c r="AG132" s="365"/>
      <c r="AH132" s="365"/>
      <c r="AI132" s="365"/>
      <c r="AJ132" s="365"/>
      <c r="AK132" s="365"/>
      <c r="AL132" s="365"/>
      <c r="AM132" s="463"/>
      <c r="AN132" s="461">
        <f t="shared" si="1"/>
        <v>44.45</v>
      </c>
      <c r="AO132" s="366"/>
      <c r="AP132" s="367"/>
    </row>
    <row r="133" spans="1:42" s="335" customFormat="1" ht="28.8">
      <c r="A133" s="460" t="s">
        <v>963</v>
      </c>
      <c r="B133" s="368" t="e">
        <f>COMPOSIÇÕES!#REF!</f>
        <v>#REF!</v>
      </c>
      <c r="C133" s="371" t="e">
        <f>COMPOSIÇÕES!#REF!</f>
        <v>#REF!</v>
      </c>
      <c r="D133" s="372" t="e">
        <f>COMPOSIÇÕES!#REF!</f>
        <v>#REF!</v>
      </c>
      <c r="E133" s="370">
        <f>1</f>
        <v>1</v>
      </c>
      <c r="F133" s="365"/>
      <c r="G133" s="365">
        <v>5538.01</v>
      </c>
      <c r="H133" s="365">
        <v>4005.34</v>
      </c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5"/>
      <c r="AI133" s="365"/>
      <c r="AJ133" s="365"/>
      <c r="AK133" s="365"/>
      <c r="AL133" s="365"/>
      <c r="AM133" s="463">
        <v>3614.29</v>
      </c>
      <c r="AN133" s="461">
        <f t="shared" ref="AN133" si="2">MEDIAN(F133:AM133)</f>
        <v>4005.34</v>
      </c>
      <c r="AO133" s="366"/>
      <c r="AP133" s="367"/>
    </row>
    <row r="134" spans="1:42" s="335" customFormat="1" ht="29.4" thickBot="1">
      <c r="A134" s="373" t="s">
        <v>964</v>
      </c>
      <c r="B134" s="374" t="e">
        <f>COMPOSIÇÕES!#REF!</f>
        <v>#REF!</v>
      </c>
      <c r="C134" s="375" t="e">
        <f>COMPOSIÇÕES!#REF!</f>
        <v>#REF!</v>
      </c>
      <c r="D134" s="376" t="e">
        <f>COMPOSIÇÕES!#REF!</f>
        <v>#REF!</v>
      </c>
      <c r="E134" s="377">
        <v>1</v>
      </c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>
        <v>26.5</v>
      </c>
      <c r="AK134" s="378"/>
      <c r="AL134" s="378">
        <v>32.15</v>
      </c>
      <c r="AM134" s="380"/>
      <c r="AN134" s="379">
        <f>MEDIAN(F134:AM134)</f>
        <v>29.324999999999999</v>
      </c>
      <c r="AO134" s="366"/>
      <c r="AP134" s="367"/>
    </row>
  </sheetData>
  <autoFilter ref="A2:AN134"/>
  <mergeCells count="1">
    <mergeCell ref="A1:AN1"/>
  </mergeCells>
  <printOptions horizontalCentered="1"/>
  <pageMargins left="0.51181102362204722" right="0.47244094488188981" top="0.39370078740157483" bottom="0.39370078740157483" header="0.23622047244094491" footer="0.19685039370078741"/>
  <pageSetup paperSize="8" scale="33" fitToHeight="2" orientation="landscape" r:id="rId1"/>
  <headerFooter>
    <oddFooter>&amp;LPágina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09"/>
  <sheetViews>
    <sheetView topLeftCell="B85" workbookViewId="0">
      <selection activeCell="B2" sqref="B2:F99"/>
    </sheetView>
  </sheetViews>
  <sheetFormatPr defaultRowHeight="14.4"/>
  <cols>
    <col min="1" max="1" width="0" hidden="1" customWidth="1"/>
    <col min="2" max="2" width="9.109375" style="1"/>
    <col min="3" max="3" width="54.33203125" style="2" customWidth="1"/>
    <col min="4" max="4" width="37.33203125" style="12" bestFit="1" customWidth="1"/>
    <col min="5" max="5" width="13.33203125" bestFit="1" customWidth="1"/>
    <col min="6" max="6" width="15" style="9" bestFit="1" customWidth="1"/>
  </cols>
  <sheetData>
    <row r="1" spans="2:9" ht="15" thickBot="1">
      <c r="B1" s="142"/>
      <c r="C1" s="141"/>
    </row>
    <row r="2" spans="2:9" ht="59.25" customHeight="1" thickBot="1">
      <c r="B2" s="621" t="str">
        <f>ORÇAMENTO!$B$1</f>
        <v>PREFEITURA MUNICIPAL DE ORLÂNDIA</v>
      </c>
      <c r="C2" s="622"/>
      <c r="D2" s="622"/>
      <c r="E2" s="622"/>
      <c r="F2" s="623"/>
    </row>
    <row r="3" spans="2:9" ht="19.2" thickBot="1">
      <c r="B3" s="620" t="e">
        <f>ORÇAMENTO!#REF!</f>
        <v>#REF!</v>
      </c>
      <c r="C3" s="620"/>
      <c r="D3" s="620"/>
      <c r="E3" s="620"/>
      <c r="F3" s="620"/>
    </row>
    <row r="4" spans="2:9" ht="19.2" thickBot="1">
      <c r="B4" s="620" t="str">
        <f>ORÇAMENTO!$E$2</f>
        <v>CLIMATIZAÇÃO ESCOLAS</v>
      </c>
      <c r="C4" s="620"/>
      <c r="D4" s="620"/>
      <c r="E4" s="620"/>
      <c r="F4" s="620"/>
    </row>
    <row r="5" spans="2:9" ht="19.2" thickBot="1">
      <c r="B5" s="624" t="s">
        <v>24</v>
      </c>
      <c r="C5" s="624"/>
      <c r="D5" s="624"/>
      <c r="E5" s="624"/>
      <c r="F5" s="624"/>
    </row>
    <row r="6" spans="2:9" s="10" customFormat="1">
      <c r="B6" s="126" t="s">
        <v>3</v>
      </c>
      <c r="C6" s="127" t="s">
        <v>4</v>
      </c>
      <c r="D6" s="126" t="s">
        <v>25</v>
      </c>
      <c r="E6" s="126" t="s">
        <v>26</v>
      </c>
      <c r="F6" s="128" t="s">
        <v>27</v>
      </c>
      <c r="G6" s="120"/>
      <c r="H6" s="120"/>
      <c r="I6" s="120"/>
    </row>
    <row r="7" spans="2:9" s="8" customFormat="1" ht="20.100000000000001" customHeight="1">
      <c r="B7" s="612" t="s">
        <v>28</v>
      </c>
      <c r="C7" s="613" t="e">
        <f>ORÇAMENTO!#REF!</f>
        <v>#REF!</v>
      </c>
      <c r="D7" s="129" t="s">
        <v>29</v>
      </c>
      <c r="E7" s="130">
        <v>1827</v>
      </c>
      <c r="F7" s="614">
        <f>MEDIAN(E7:E9)</f>
        <v>1820</v>
      </c>
      <c r="I7" s="606"/>
    </row>
    <row r="8" spans="2:9" s="8" customFormat="1" ht="20.100000000000001" customHeight="1">
      <c r="B8" s="612"/>
      <c r="C8" s="613"/>
      <c r="D8" s="129" t="s">
        <v>30</v>
      </c>
      <c r="E8" s="130">
        <v>1412</v>
      </c>
      <c r="F8" s="614"/>
      <c r="I8" s="606"/>
    </row>
    <row r="9" spans="2:9" s="8" customFormat="1" ht="19.5" customHeight="1">
      <c r="B9" s="612"/>
      <c r="C9" s="613"/>
      <c r="D9" s="129" t="s">
        <v>31</v>
      </c>
      <c r="E9" s="130">
        <v>1820</v>
      </c>
      <c r="F9" s="614"/>
      <c r="I9" s="606"/>
    </row>
    <row r="10" spans="2:9" s="8" customFormat="1" ht="17.100000000000001" customHeight="1">
      <c r="B10" s="615" t="s">
        <v>32</v>
      </c>
      <c r="C10" s="616" t="e">
        <f>ORÇAMENTO!#REF!</f>
        <v>#REF!</v>
      </c>
      <c r="D10" s="131" t="s">
        <v>29</v>
      </c>
      <c r="E10" s="132">
        <v>1625.66</v>
      </c>
      <c r="F10" s="611">
        <f>MEDIAN(E10:E12)</f>
        <v>1625.66</v>
      </c>
    </row>
    <row r="11" spans="2:9" s="8" customFormat="1" ht="17.100000000000001" customHeight="1">
      <c r="B11" s="615"/>
      <c r="C11" s="616"/>
      <c r="D11" s="131" t="s">
        <v>30</v>
      </c>
      <c r="E11" s="132">
        <v>1410</v>
      </c>
      <c r="F11" s="611"/>
    </row>
    <row r="12" spans="2:9" s="8" customFormat="1" ht="23.25" customHeight="1">
      <c r="B12" s="615"/>
      <c r="C12" s="616"/>
      <c r="D12" s="131" t="s">
        <v>31</v>
      </c>
      <c r="E12" s="132">
        <v>1631</v>
      </c>
      <c r="F12" s="611"/>
    </row>
    <row r="13" spans="2:9" s="8" customFormat="1" ht="20.100000000000001" customHeight="1">
      <c r="B13" s="612" t="s">
        <v>33</v>
      </c>
      <c r="C13" s="613" t="e">
        <f>ORÇAMENTO!#REF!</f>
        <v>#REF!</v>
      </c>
      <c r="D13" s="129" t="s">
        <v>29</v>
      </c>
      <c r="E13" s="130">
        <v>1380</v>
      </c>
      <c r="F13" s="614">
        <f>MEDIAN(E13:E15)</f>
        <v>1410</v>
      </c>
    </row>
    <row r="14" spans="2:9" s="8" customFormat="1" ht="20.100000000000001" customHeight="1">
      <c r="B14" s="612"/>
      <c r="C14" s="613"/>
      <c r="D14" s="129" t="s">
        <v>30</v>
      </c>
      <c r="E14" s="130">
        <v>1410</v>
      </c>
      <c r="F14" s="614"/>
    </row>
    <row r="15" spans="2:9" s="8" customFormat="1" ht="20.100000000000001" customHeight="1">
      <c r="B15" s="612"/>
      <c r="C15" s="613"/>
      <c r="D15" s="129" t="s">
        <v>31</v>
      </c>
      <c r="E15" s="130">
        <v>1622</v>
      </c>
      <c r="F15" s="614"/>
    </row>
    <row r="16" spans="2:9" s="8" customFormat="1" ht="20.100000000000001" customHeight="1">
      <c r="B16" s="615" t="s">
        <v>34</v>
      </c>
      <c r="C16" s="616" t="e">
        <f>ORÇAMENTO!#REF!</f>
        <v>#REF!</v>
      </c>
      <c r="D16" s="131" t="s">
        <v>29</v>
      </c>
      <c r="E16" s="132">
        <v>1180</v>
      </c>
      <c r="F16" s="611">
        <f>MEDIAN(E16:E18)</f>
        <v>1180</v>
      </c>
    </row>
    <row r="17" spans="2:7" s="8" customFormat="1" ht="20.100000000000001" customHeight="1">
      <c r="B17" s="615"/>
      <c r="C17" s="616"/>
      <c r="D17" s="131" t="s">
        <v>30</v>
      </c>
      <c r="E17" s="132">
        <v>1110</v>
      </c>
      <c r="F17" s="611"/>
    </row>
    <row r="18" spans="2:7" s="8" customFormat="1" ht="35.25" customHeight="1">
      <c r="B18" s="615"/>
      <c r="C18" s="616"/>
      <c r="D18" s="131" t="s">
        <v>31</v>
      </c>
      <c r="E18" s="132">
        <v>1331</v>
      </c>
      <c r="F18" s="611"/>
    </row>
    <row r="19" spans="2:7" s="8" customFormat="1" ht="20.100000000000001" customHeight="1">
      <c r="B19" s="612" t="s">
        <v>35</v>
      </c>
      <c r="C19" s="613" t="e">
        <f>ORÇAMENTO!#REF!</f>
        <v>#REF!</v>
      </c>
      <c r="D19" s="129" t="s">
        <v>29</v>
      </c>
      <c r="E19" s="130">
        <v>1281.67</v>
      </c>
      <c r="F19" s="614">
        <f>MEDIAN(E19:E21)</f>
        <v>1281.67</v>
      </c>
    </row>
    <row r="20" spans="2:7" s="8" customFormat="1" ht="20.100000000000001" customHeight="1">
      <c r="B20" s="612"/>
      <c r="C20" s="613"/>
      <c r="D20" s="129" t="s">
        <v>30</v>
      </c>
      <c r="E20" s="130">
        <v>1100</v>
      </c>
      <c r="F20" s="614"/>
    </row>
    <row r="21" spans="2:7" s="8" customFormat="1" ht="18.75" customHeight="1">
      <c r="B21" s="612"/>
      <c r="C21" s="613"/>
      <c r="D21" s="129" t="s">
        <v>31</v>
      </c>
      <c r="E21" s="130">
        <v>1435</v>
      </c>
      <c r="F21" s="614"/>
    </row>
    <row r="22" spans="2:7" s="8" customFormat="1" ht="20.100000000000001" customHeight="1">
      <c r="B22" s="615" t="s">
        <v>36</v>
      </c>
      <c r="C22" s="616" t="e">
        <f>ORÇAMENTO!#REF!</f>
        <v>#REF!</v>
      </c>
      <c r="D22" s="131" t="s">
        <v>29</v>
      </c>
      <c r="E22" s="132">
        <v>2200</v>
      </c>
      <c r="F22" s="611">
        <f>MEDIAN(E22:E24)</f>
        <v>1452</v>
      </c>
    </row>
    <row r="23" spans="2:7" s="8" customFormat="1" ht="20.100000000000001" customHeight="1">
      <c r="B23" s="615"/>
      <c r="C23" s="616"/>
      <c r="D23" s="131" t="s">
        <v>30</v>
      </c>
      <c r="E23" s="132">
        <v>1010</v>
      </c>
      <c r="F23" s="611"/>
    </row>
    <row r="24" spans="2:7" s="8" customFormat="1" ht="20.100000000000001" customHeight="1">
      <c r="B24" s="615"/>
      <c r="C24" s="616"/>
      <c r="D24" s="131" t="s">
        <v>31</v>
      </c>
      <c r="E24" s="132">
        <v>1452</v>
      </c>
      <c r="F24" s="611"/>
    </row>
    <row r="25" spans="2:7" s="8" customFormat="1" ht="18" customHeight="1">
      <c r="B25" s="612" t="s">
        <v>37</v>
      </c>
      <c r="C25" s="613" t="e">
        <f>ORÇAMENTO!#REF!</f>
        <v>#REF!</v>
      </c>
      <c r="D25" s="129" t="s">
        <v>29</v>
      </c>
      <c r="E25" s="130">
        <v>937</v>
      </c>
      <c r="F25" s="614">
        <f>MEDIAN(E25:E27)</f>
        <v>1000</v>
      </c>
    </row>
    <row r="26" spans="2:7" s="8" customFormat="1" ht="18" customHeight="1">
      <c r="B26" s="612"/>
      <c r="C26" s="613"/>
      <c r="D26" s="129" t="s">
        <v>30</v>
      </c>
      <c r="E26" s="130">
        <v>1000</v>
      </c>
      <c r="F26" s="614"/>
    </row>
    <row r="27" spans="2:7" s="8" customFormat="1" ht="18" customHeight="1">
      <c r="B27" s="612"/>
      <c r="C27" s="613"/>
      <c r="D27" s="129" t="s">
        <v>31</v>
      </c>
      <c r="E27" s="130">
        <v>1221</v>
      </c>
      <c r="F27" s="614"/>
    </row>
    <row r="28" spans="2:7" s="8" customFormat="1" ht="20.100000000000001" customHeight="1">
      <c r="B28" s="615" t="s">
        <v>38</v>
      </c>
      <c r="C28" s="616" t="e">
        <f>ORÇAMENTO!#REF!</f>
        <v>#REF!</v>
      </c>
      <c r="D28" s="131" t="s">
        <v>29</v>
      </c>
      <c r="E28" s="132">
        <v>2857</v>
      </c>
      <c r="F28" s="611">
        <f>MEDIAN(E28:E30)</f>
        <v>3000</v>
      </c>
    </row>
    <row r="29" spans="2:7" s="8" customFormat="1" ht="20.100000000000001" customHeight="1">
      <c r="B29" s="615"/>
      <c r="C29" s="616"/>
      <c r="D29" s="131" t="s">
        <v>30</v>
      </c>
      <c r="E29" s="132">
        <v>3000</v>
      </c>
      <c r="F29" s="611"/>
    </row>
    <row r="30" spans="2:7" s="8" customFormat="1" ht="20.100000000000001" customHeight="1">
      <c r="B30" s="615"/>
      <c r="C30" s="616"/>
      <c r="D30" s="131" t="s">
        <v>31</v>
      </c>
      <c r="E30" s="132">
        <v>3331</v>
      </c>
      <c r="F30" s="611"/>
    </row>
    <row r="31" spans="2:7" s="8" customFormat="1" ht="20.100000000000001" customHeight="1">
      <c r="B31" s="612" t="s">
        <v>39</v>
      </c>
      <c r="C31" s="613" t="e">
        <f>ORÇAMENTO!#REF!</f>
        <v>#REF!</v>
      </c>
      <c r="D31" s="129" t="s">
        <v>29</v>
      </c>
      <c r="E31" s="130">
        <v>3330</v>
      </c>
      <c r="F31" s="614">
        <f>MEDIAN(E31:E33)</f>
        <v>3330</v>
      </c>
      <c r="G31" s="8">
        <v>33312</v>
      </c>
    </row>
    <row r="32" spans="2:7" s="8" customFormat="1" ht="20.100000000000001" customHeight="1">
      <c r="B32" s="612"/>
      <c r="C32" s="613"/>
      <c r="D32" s="129" t="s">
        <v>30</v>
      </c>
      <c r="E32" s="130">
        <v>3100</v>
      </c>
      <c r="F32" s="614"/>
    </row>
    <row r="33" spans="2:6" s="8" customFormat="1" ht="20.100000000000001" customHeight="1">
      <c r="B33" s="612"/>
      <c r="C33" s="613"/>
      <c r="D33" s="129" t="s">
        <v>31</v>
      </c>
      <c r="E33" s="130">
        <v>3752</v>
      </c>
      <c r="F33" s="614"/>
    </row>
    <row r="34" spans="2:6" s="8" customFormat="1" ht="20.100000000000001" customHeight="1">
      <c r="B34" s="615" t="s">
        <v>40</v>
      </c>
      <c r="C34" s="616" t="e">
        <f>ORÇAMENTO!#REF!</f>
        <v>#REF!</v>
      </c>
      <c r="D34" s="131" t="s">
        <v>29</v>
      </c>
      <c r="E34" s="132">
        <v>2624</v>
      </c>
      <c r="F34" s="611">
        <f>MEDIAN(E34:E36)</f>
        <v>2650</v>
      </c>
    </row>
    <row r="35" spans="2:6" s="8" customFormat="1" ht="20.100000000000001" customHeight="1">
      <c r="B35" s="615"/>
      <c r="C35" s="616"/>
      <c r="D35" s="131" t="s">
        <v>30</v>
      </c>
      <c r="E35" s="132">
        <v>2650</v>
      </c>
      <c r="F35" s="611"/>
    </row>
    <row r="36" spans="2:6" s="8" customFormat="1" ht="20.100000000000001" customHeight="1">
      <c r="B36" s="615"/>
      <c r="C36" s="616"/>
      <c r="D36" s="131" t="s">
        <v>31</v>
      </c>
      <c r="E36" s="132">
        <v>2998</v>
      </c>
      <c r="F36" s="611"/>
    </row>
    <row r="37" spans="2:6" s="8" customFormat="1" ht="20.100000000000001" customHeight="1">
      <c r="B37" s="612" t="s">
        <v>41</v>
      </c>
      <c r="C37" s="613" t="e">
        <f>ORÇAMENTO!#REF!</f>
        <v>#REF!</v>
      </c>
      <c r="D37" s="129" t="s">
        <v>29</v>
      </c>
      <c r="E37" s="130">
        <v>2738</v>
      </c>
      <c r="F37" s="614">
        <f>MEDIAN(E37:E39)</f>
        <v>2655</v>
      </c>
    </row>
    <row r="38" spans="2:6" s="8" customFormat="1" ht="20.100000000000001" customHeight="1">
      <c r="B38" s="612"/>
      <c r="C38" s="613"/>
      <c r="D38" s="129" t="s">
        <v>30</v>
      </c>
      <c r="E38" s="130">
        <v>2050</v>
      </c>
      <c r="F38" s="614"/>
    </row>
    <row r="39" spans="2:6" s="8" customFormat="1" ht="20.100000000000001" customHeight="1">
      <c r="B39" s="612"/>
      <c r="C39" s="613"/>
      <c r="D39" s="129" t="s">
        <v>31</v>
      </c>
      <c r="E39" s="130">
        <v>2655</v>
      </c>
      <c r="F39" s="614"/>
    </row>
    <row r="40" spans="2:6" s="8" customFormat="1" ht="20.100000000000001" customHeight="1">
      <c r="B40" s="609" t="s">
        <v>42</v>
      </c>
      <c r="C40" s="616" t="e">
        <f>ORÇAMENTO!#REF!</f>
        <v>#REF!</v>
      </c>
      <c r="D40" s="131" t="s">
        <v>29</v>
      </c>
      <c r="E40" s="132">
        <v>3400</v>
      </c>
      <c r="F40" s="611">
        <f>MEDIAN(E40:E42)</f>
        <v>3399</v>
      </c>
    </row>
    <row r="41" spans="2:6" s="8" customFormat="1" ht="20.100000000000001" customHeight="1">
      <c r="B41" s="609"/>
      <c r="C41" s="616"/>
      <c r="D41" s="131" t="s">
        <v>30</v>
      </c>
      <c r="E41" s="132">
        <v>2950</v>
      </c>
      <c r="F41" s="611"/>
    </row>
    <row r="42" spans="2:6" s="8" customFormat="1" ht="20.100000000000001" customHeight="1">
      <c r="B42" s="609"/>
      <c r="C42" s="616"/>
      <c r="D42" s="131" t="s">
        <v>31</v>
      </c>
      <c r="E42" s="132">
        <v>3399</v>
      </c>
      <c r="F42" s="611"/>
    </row>
    <row r="43" spans="2:6" s="8" customFormat="1" ht="20.100000000000001" customHeight="1">
      <c r="B43" s="612" t="s">
        <v>43</v>
      </c>
      <c r="C43" s="613" t="e">
        <f>ORÇAMENTO!#REF!</f>
        <v>#REF!</v>
      </c>
      <c r="D43" s="129" t="s">
        <v>29</v>
      </c>
      <c r="E43" s="133">
        <v>1470</v>
      </c>
      <c r="F43" s="614">
        <f>MEDIAN(E43:E45)</f>
        <v>2850</v>
      </c>
    </row>
    <row r="44" spans="2:6" s="8" customFormat="1" ht="20.100000000000001" customHeight="1">
      <c r="B44" s="612"/>
      <c r="C44" s="613"/>
      <c r="D44" s="129" t="s">
        <v>30</v>
      </c>
      <c r="E44" s="133">
        <v>2850</v>
      </c>
      <c r="F44" s="614"/>
    </row>
    <row r="45" spans="2:6" s="8" customFormat="1" ht="20.100000000000001" customHeight="1">
      <c r="B45" s="612"/>
      <c r="C45" s="613"/>
      <c r="D45" s="129" t="s">
        <v>31</v>
      </c>
      <c r="E45" s="133">
        <v>3252</v>
      </c>
      <c r="F45" s="614"/>
    </row>
    <row r="46" spans="2:6" s="8" customFormat="1" ht="20.100000000000001" customHeight="1">
      <c r="B46" s="609" t="s">
        <v>44</v>
      </c>
      <c r="C46" s="616" t="e">
        <f>ORÇAMENTO!#REF!</f>
        <v>#REF!</v>
      </c>
      <c r="D46" s="131" t="s">
        <v>29</v>
      </c>
      <c r="E46" s="132">
        <v>2438</v>
      </c>
      <c r="F46" s="611">
        <f>MEDIAN(E46:E48)</f>
        <v>2980</v>
      </c>
    </row>
    <row r="47" spans="2:6" s="8" customFormat="1" ht="20.100000000000001" customHeight="1">
      <c r="B47" s="609"/>
      <c r="C47" s="616"/>
      <c r="D47" s="131" t="s">
        <v>30</v>
      </c>
      <c r="E47" s="132">
        <v>2980</v>
      </c>
      <c r="F47" s="611"/>
    </row>
    <row r="48" spans="2:6" s="8" customFormat="1" ht="20.100000000000001" customHeight="1">
      <c r="B48" s="609"/>
      <c r="C48" s="616"/>
      <c r="D48" s="131" t="s">
        <v>31</v>
      </c>
      <c r="E48" s="132">
        <v>3020</v>
      </c>
      <c r="F48" s="611"/>
    </row>
    <row r="49" spans="2:6" s="8" customFormat="1" ht="20.100000000000001" customHeight="1">
      <c r="B49" s="612" t="s">
        <v>45</v>
      </c>
      <c r="C49" s="613" t="e">
        <f>ORÇAMENTO!#REF!</f>
        <v>#REF!</v>
      </c>
      <c r="D49" s="129" t="s">
        <v>29</v>
      </c>
      <c r="E49" s="130">
        <v>2310</v>
      </c>
      <c r="F49" s="614">
        <f>MEDIAN(E49:E51)</f>
        <v>2252</v>
      </c>
    </row>
    <row r="50" spans="2:6" s="8" customFormat="1" ht="20.100000000000001" customHeight="1">
      <c r="B50" s="612"/>
      <c r="C50" s="613"/>
      <c r="D50" s="129" t="s">
        <v>30</v>
      </c>
      <c r="E50" s="130">
        <v>2100</v>
      </c>
      <c r="F50" s="614"/>
    </row>
    <row r="51" spans="2:6" s="8" customFormat="1" ht="20.100000000000001" customHeight="1">
      <c r="B51" s="612"/>
      <c r="C51" s="613"/>
      <c r="D51" s="129" t="s">
        <v>31</v>
      </c>
      <c r="E51" s="130">
        <v>2252</v>
      </c>
      <c r="F51" s="614"/>
    </row>
    <row r="52" spans="2:6" s="8" customFormat="1" ht="20.100000000000001" customHeight="1">
      <c r="B52" s="609" t="s">
        <v>46</v>
      </c>
      <c r="C52" s="616" t="e">
        <f>ORÇAMENTO!#REF!</f>
        <v>#REF!</v>
      </c>
      <c r="D52" s="131" t="s">
        <v>29</v>
      </c>
      <c r="E52" s="132">
        <v>1960</v>
      </c>
      <c r="F52" s="611">
        <f>MEDIAN(E52:E54)</f>
        <v>1960</v>
      </c>
    </row>
    <row r="53" spans="2:6" s="8" customFormat="1" ht="20.100000000000001" customHeight="1">
      <c r="B53" s="609"/>
      <c r="C53" s="616"/>
      <c r="D53" s="131" t="s">
        <v>30</v>
      </c>
      <c r="E53" s="132">
        <v>1750</v>
      </c>
      <c r="F53" s="611"/>
    </row>
    <row r="54" spans="2:6" s="8" customFormat="1" ht="20.100000000000001" customHeight="1">
      <c r="B54" s="609"/>
      <c r="C54" s="616"/>
      <c r="D54" s="131" t="s">
        <v>31</v>
      </c>
      <c r="E54" s="132">
        <v>2010</v>
      </c>
      <c r="F54" s="611"/>
    </row>
    <row r="55" spans="2:6" s="8" customFormat="1" ht="20.100000000000001" customHeight="1">
      <c r="B55" s="612" t="s">
        <v>47</v>
      </c>
      <c r="C55" s="613" t="e">
        <f>ORÇAMENTO!#REF!</f>
        <v>#REF!</v>
      </c>
      <c r="D55" s="129" t="s">
        <v>29</v>
      </c>
      <c r="E55" s="130">
        <v>2680</v>
      </c>
      <c r="F55" s="614">
        <f>MEDIAN(E55:E57)</f>
        <v>3150</v>
      </c>
    </row>
    <row r="56" spans="2:6" s="8" customFormat="1" ht="20.100000000000001" customHeight="1">
      <c r="B56" s="612"/>
      <c r="C56" s="613"/>
      <c r="D56" s="129" t="s">
        <v>30</v>
      </c>
      <c r="E56" s="130">
        <v>3150</v>
      </c>
      <c r="F56" s="614"/>
    </row>
    <row r="57" spans="2:6" s="8" customFormat="1" ht="20.100000000000001" customHeight="1">
      <c r="B57" s="612"/>
      <c r="C57" s="613"/>
      <c r="D57" s="129" t="s">
        <v>31</v>
      </c>
      <c r="E57" s="130">
        <v>3352</v>
      </c>
      <c r="F57" s="614"/>
    </row>
    <row r="58" spans="2:6" s="8" customFormat="1" ht="20.100000000000001" customHeight="1">
      <c r="B58" s="609" t="s">
        <v>48</v>
      </c>
      <c r="C58" s="616" t="e">
        <f>ORÇAMENTO!#REF!</f>
        <v>#REF!</v>
      </c>
      <c r="D58" s="131" t="s">
        <v>29</v>
      </c>
      <c r="E58" s="132">
        <v>2453</v>
      </c>
      <c r="F58" s="611">
        <f>MEDIAN(E58:E60)</f>
        <v>2750</v>
      </c>
    </row>
    <row r="59" spans="2:6" s="8" customFormat="1" ht="20.100000000000001" customHeight="1">
      <c r="B59" s="609"/>
      <c r="C59" s="616"/>
      <c r="D59" s="131" t="s">
        <v>30</v>
      </c>
      <c r="E59" s="132">
        <v>2750</v>
      </c>
      <c r="F59" s="611"/>
    </row>
    <row r="60" spans="2:6" s="8" customFormat="1" ht="20.100000000000001" customHeight="1">
      <c r="B60" s="609"/>
      <c r="C60" s="616"/>
      <c r="D60" s="131" t="s">
        <v>31</v>
      </c>
      <c r="E60" s="132">
        <v>2980</v>
      </c>
      <c r="F60" s="611"/>
    </row>
    <row r="61" spans="2:6" s="8" customFormat="1" ht="27.75" customHeight="1">
      <c r="B61" s="612" t="s">
        <v>49</v>
      </c>
      <c r="C61" s="613" t="e">
        <f>ORÇAMENTO!#REF!</f>
        <v>#REF!</v>
      </c>
      <c r="D61" s="129" t="s">
        <v>29</v>
      </c>
      <c r="E61" s="130">
        <v>2360</v>
      </c>
      <c r="F61" s="614">
        <f>MEDIAN(E61:E63)</f>
        <v>3850</v>
      </c>
    </row>
    <row r="62" spans="2:6" s="8" customFormat="1" ht="26.25" customHeight="1">
      <c r="B62" s="612"/>
      <c r="C62" s="613"/>
      <c r="D62" s="129" t="s">
        <v>30</v>
      </c>
      <c r="E62" s="130">
        <v>3850</v>
      </c>
      <c r="F62" s="614"/>
    </row>
    <row r="63" spans="2:6" s="8" customFormat="1" ht="28.5" customHeight="1">
      <c r="B63" s="612"/>
      <c r="C63" s="613"/>
      <c r="D63" s="129" t="s">
        <v>31</v>
      </c>
      <c r="E63" s="130">
        <v>4250</v>
      </c>
      <c r="F63" s="614"/>
    </row>
    <row r="64" spans="2:6" s="8" customFormat="1" ht="20.100000000000001" customHeight="1">
      <c r="B64" s="609" t="s">
        <v>50</v>
      </c>
      <c r="C64" s="610" t="e">
        <f>ORÇAMENTO!#REF!</f>
        <v>#REF!</v>
      </c>
      <c r="D64" s="134" t="s">
        <v>29</v>
      </c>
      <c r="E64" s="135">
        <v>2870</v>
      </c>
      <c r="F64" s="611">
        <f>MEDIAN(E64:E66)</f>
        <v>2750</v>
      </c>
    </row>
    <row r="65" spans="2:6" s="8" customFormat="1" ht="20.100000000000001" customHeight="1">
      <c r="B65" s="609"/>
      <c r="C65" s="610"/>
      <c r="D65" s="134" t="s">
        <v>30</v>
      </c>
      <c r="E65" s="135">
        <v>2050</v>
      </c>
      <c r="F65" s="611"/>
    </row>
    <row r="66" spans="2:6" s="8" customFormat="1" ht="20.100000000000001" customHeight="1">
      <c r="B66" s="609"/>
      <c r="C66" s="610"/>
      <c r="D66" s="134" t="s">
        <v>31</v>
      </c>
      <c r="E66" s="135">
        <v>2750</v>
      </c>
      <c r="F66" s="611"/>
    </row>
    <row r="67" spans="2:6" s="8" customFormat="1" ht="20.100000000000001" customHeight="1">
      <c r="B67" s="612" t="s">
        <v>51</v>
      </c>
      <c r="C67" s="613" t="e">
        <f>ORÇAMENTO!#REF!</f>
        <v>#REF!</v>
      </c>
      <c r="D67" s="129" t="s">
        <v>29</v>
      </c>
      <c r="E67" s="130">
        <v>2090</v>
      </c>
      <c r="F67" s="614">
        <f>MEDIAN(E67:E69)</f>
        <v>2100</v>
      </c>
    </row>
    <row r="68" spans="2:6" s="8" customFormat="1" ht="20.100000000000001" customHeight="1">
      <c r="B68" s="612"/>
      <c r="C68" s="613"/>
      <c r="D68" s="129" t="s">
        <v>30</v>
      </c>
      <c r="E68" s="130">
        <v>2100</v>
      </c>
      <c r="F68" s="614"/>
    </row>
    <row r="69" spans="2:6" s="8" customFormat="1" ht="20.100000000000001" customHeight="1">
      <c r="B69" s="612"/>
      <c r="C69" s="613"/>
      <c r="D69" s="129" t="s">
        <v>31</v>
      </c>
      <c r="E69" s="130">
        <v>3250</v>
      </c>
      <c r="F69" s="614"/>
    </row>
    <row r="70" spans="2:6" s="8" customFormat="1" ht="20.100000000000001" customHeight="1">
      <c r="B70" s="609" t="s">
        <v>52</v>
      </c>
      <c r="C70" s="610" t="e">
        <f>ORÇAMENTO!#REF!</f>
        <v>#REF!</v>
      </c>
      <c r="D70" s="134" t="s">
        <v>29</v>
      </c>
      <c r="E70" s="135">
        <v>1760.5</v>
      </c>
      <c r="F70" s="611">
        <f>MEDIAN(E70:E72)</f>
        <v>1760.5</v>
      </c>
    </row>
    <row r="71" spans="2:6" s="8" customFormat="1" ht="20.100000000000001" customHeight="1">
      <c r="B71" s="609"/>
      <c r="C71" s="610"/>
      <c r="D71" s="134" t="s">
        <v>30</v>
      </c>
      <c r="E71" s="135">
        <v>1375</v>
      </c>
      <c r="F71" s="611"/>
    </row>
    <row r="72" spans="2:6" s="8" customFormat="1" ht="20.100000000000001" customHeight="1">
      <c r="B72" s="609"/>
      <c r="C72" s="610"/>
      <c r="D72" s="134" t="s">
        <v>31</v>
      </c>
      <c r="E72" s="135">
        <v>1905</v>
      </c>
      <c r="F72" s="611"/>
    </row>
    <row r="73" spans="2:6" s="8" customFormat="1" ht="20.100000000000001" customHeight="1">
      <c r="B73" s="612" t="s">
        <v>53</v>
      </c>
      <c r="C73" s="613" t="e">
        <f>ORÇAMENTO!#REF!</f>
        <v>#REF!</v>
      </c>
      <c r="D73" s="129" t="s">
        <v>29</v>
      </c>
      <c r="E73" s="130">
        <v>1400</v>
      </c>
      <c r="F73" s="614">
        <f>MEDIAN(E73:E75)</f>
        <v>1600</v>
      </c>
    </row>
    <row r="74" spans="2:6" s="8" customFormat="1" ht="20.100000000000001" customHeight="1">
      <c r="B74" s="612"/>
      <c r="C74" s="613"/>
      <c r="D74" s="129" t="s">
        <v>30</v>
      </c>
      <c r="E74" s="130">
        <v>1600</v>
      </c>
      <c r="F74" s="614"/>
    </row>
    <row r="75" spans="2:6" s="8" customFormat="1" ht="20.100000000000001" customHeight="1">
      <c r="B75" s="612"/>
      <c r="C75" s="613"/>
      <c r="D75" s="129" t="s">
        <v>31</v>
      </c>
      <c r="E75" s="130">
        <v>1675</v>
      </c>
      <c r="F75" s="614"/>
    </row>
    <row r="76" spans="2:6" s="8" customFormat="1" ht="20.100000000000001" customHeight="1">
      <c r="B76" s="609" t="s">
        <v>54</v>
      </c>
      <c r="C76" s="610" t="e">
        <f>ORÇAMENTO!#REF!</f>
        <v>#REF!</v>
      </c>
      <c r="D76" s="134" t="s">
        <v>29</v>
      </c>
      <c r="E76" s="135">
        <v>1326</v>
      </c>
      <c r="F76" s="611">
        <f>MEDIAN(E76:E78)</f>
        <v>1400</v>
      </c>
    </row>
    <row r="77" spans="2:6" s="8" customFormat="1" ht="20.100000000000001" customHeight="1">
      <c r="B77" s="609"/>
      <c r="C77" s="610"/>
      <c r="D77" s="134" t="s">
        <v>30</v>
      </c>
      <c r="E77" s="135">
        <v>1400</v>
      </c>
      <c r="F77" s="611"/>
    </row>
    <row r="78" spans="2:6" s="8" customFormat="1" ht="20.100000000000001" customHeight="1">
      <c r="B78" s="609"/>
      <c r="C78" s="610"/>
      <c r="D78" s="134" t="s">
        <v>31</v>
      </c>
      <c r="E78" s="135">
        <v>1725</v>
      </c>
      <c r="F78" s="611"/>
    </row>
    <row r="79" spans="2:6" s="8" customFormat="1" ht="20.100000000000001" customHeight="1">
      <c r="B79" s="612" t="s">
        <v>55</v>
      </c>
      <c r="C79" s="613" t="e">
        <f>ORÇAMENTO!#REF!</f>
        <v>#REF!</v>
      </c>
      <c r="D79" s="129" t="s">
        <v>29</v>
      </c>
      <c r="E79" s="130">
        <v>2190</v>
      </c>
      <c r="F79" s="614">
        <f>MEDIAN(E79:E81)</f>
        <v>1675</v>
      </c>
    </row>
    <row r="80" spans="2:6" s="8" customFormat="1" ht="20.100000000000001" customHeight="1">
      <c r="B80" s="612"/>
      <c r="C80" s="613"/>
      <c r="D80" s="129" t="s">
        <v>30</v>
      </c>
      <c r="E80" s="130">
        <v>1450</v>
      </c>
      <c r="F80" s="614"/>
    </row>
    <row r="81" spans="2:7" s="8" customFormat="1" ht="20.100000000000001" customHeight="1">
      <c r="B81" s="612"/>
      <c r="C81" s="613"/>
      <c r="D81" s="129" t="s">
        <v>31</v>
      </c>
      <c r="E81" s="130">
        <v>1675</v>
      </c>
      <c r="F81" s="614"/>
    </row>
    <row r="82" spans="2:7" s="8" customFormat="1" ht="20.100000000000001" customHeight="1">
      <c r="B82" s="609" t="s">
        <v>56</v>
      </c>
      <c r="C82" s="610" t="e">
        <f>ORÇAMENTO!#REF!</f>
        <v>#REF!</v>
      </c>
      <c r="D82" s="134" t="s">
        <v>57</v>
      </c>
      <c r="E82" s="135">
        <v>3000</v>
      </c>
      <c r="F82" s="611">
        <f>MEDIAN(E82:E84)</f>
        <v>3000</v>
      </c>
    </row>
    <row r="83" spans="2:7" s="8" customFormat="1" ht="20.100000000000001" customHeight="1">
      <c r="B83" s="609"/>
      <c r="C83" s="610"/>
      <c r="D83" s="134" t="s">
        <v>58</v>
      </c>
      <c r="E83" s="135">
        <v>3000</v>
      </c>
      <c r="F83" s="611"/>
    </row>
    <row r="84" spans="2:7" s="8" customFormat="1" ht="20.100000000000001" customHeight="1">
      <c r="B84" s="609"/>
      <c r="C84" s="610"/>
      <c r="D84" s="134" t="s">
        <v>59</v>
      </c>
      <c r="E84" s="135">
        <v>2900</v>
      </c>
      <c r="F84" s="611"/>
    </row>
    <row r="85" spans="2:7" s="8" customFormat="1" ht="20.100000000000001" customHeight="1">
      <c r="B85" s="612" t="s">
        <v>60</v>
      </c>
      <c r="C85" s="613" t="e">
        <f>ORÇAMENTO!#REF!</f>
        <v>#REF!</v>
      </c>
      <c r="D85" s="129" t="s">
        <v>57</v>
      </c>
      <c r="E85" s="130">
        <v>3600</v>
      </c>
      <c r="F85" s="614">
        <f>MEDIAN(E85:E87)</f>
        <v>3600</v>
      </c>
    </row>
    <row r="86" spans="2:7" s="8" customFormat="1" ht="20.100000000000001" customHeight="1">
      <c r="B86" s="612"/>
      <c r="C86" s="613"/>
      <c r="D86" s="129" t="s">
        <v>58</v>
      </c>
      <c r="E86" s="130">
        <v>4000</v>
      </c>
      <c r="F86" s="614"/>
    </row>
    <row r="87" spans="2:7" s="8" customFormat="1" ht="20.100000000000001" customHeight="1">
      <c r="B87" s="612"/>
      <c r="C87" s="613"/>
      <c r="D87" s="129" t="s">
        <v>59</v>
      </c>
      <c r="E87" s="130">
        <v>3200</v>
      </c>
      <c r="F87" s="614"/>
    </row>
    <row r="88" spans="2:7" s="8" customFormat="1" ht="20.100000000000001" customHeight="1">
      <c r="B88" s="609" t="s">
        <v>61</v>
      </c>
      <c r="C88" s="610" t="e">
        <f>ORÇAMENTO!#REF!</f>
        <v>#REF!</v>
      </c>
      <c r="D88" s="134" t="s">
        <v>29</v>
      </c>
      <c r="E88" s="135">
        <v>2840</v>
      </c>
      <c r="F88" s="611">
        <f>MEDIAN(E88:E90)</f>
        <v>2840</v>
      </c>
    </row>
    <row r="89" spans="2:7" s="8" customFormat="1" ht="20.100000000000001" customHeight="1">
      <c r="B89" s="609"/>
      <c r="C89" s="610"/>
      <c r="D89" s="134" t="s">
        <v>30</v>
      </c>
      <c r="E89" s="135">
        <v>2600</v>
      </c>
      <c r="F89" s="611"/>
      <c r="G89" s="124"/>
    </row>
    <row r="90" spans="2:7" s="8" customFormat="1" ht="20.100000000000001" customHeight="1">
      <c r="B90" s="609"/>
      <c r="C90" s="610"/>
      <c r="D90" s="134" t="s">
        <v>31</v>
      </c>
      <c r="E90" s="135">
        <v>3350</v>
      </c>
      <c r="F90" s="611"/>
    </row>
    <row r="91" spans="2:7" s="8" customFormat="1" ht="20.100000000000001" customHeight="1">
      <c r="B91" s="612" t="s">
        <v>62</v>
      </c>
      <c r="C91" s="613" t="e">
        <f>ORÇAMENTO!#REF!</f>
        <v>#REF!</v>
      </c>
      <c r="D91" s="129" t="s">
        <v>57</v>
      </c>
      <c r="E91" s="130">
        <v>726</v>
      </c>
      <c r="F91" s="614">
        <f>MEDIAN(E91:E93)</f>
        <v>726</v>
      </c>
    </row>
    <row r="92" spans="2:7" s="8" customFormat="1" ht="20.100000000000001" customHeight="1">
      <c r="B92" s="612"/>
      <c r="C92" s="613"/>
      <c r="D92" s="129" t="s">
        <v>58</v>
      </c>
      <c r="E92" s="130">
        <v>970</v>
      </c>
      <c r="F92" s="614"/>
    </row>
    <row r="93" spans="2:7" s="8" customFormat="1" ht="20.100000000000001" customHeight="1">
      <c r="B93" s="612"/>
      <c r="C93" s="613"/>
      <c r="D93" s="129" t="s">
        <v>59</v>
      </c>
      <c r="E93" s="130">
        <v>649.9</v>
      </c>
      <c r="F93" s="614"/>
    </row>
    <row r="94" spans="2:7" s="8" customFormat="1" ht="20.100000000000001" customHeight="1">
      <c r="B94" s="609" t="s">
        <v>63</v>
      </c>
      <c r="C94" s="610" t="s">
        <v>64</v>
      </c>
      <c r="D94" s="134" t="s">
        <v>57</v>
      </c>
      <c r="E94" s="135">
        <v>600</v>
      </c>
      <c r="F94" s="611">
        <f>MEDIAN(E94:E96)</f>
        <v>350</v>
      </c>
    </row>
    <row r="95" spans="2:7" s="8" customFormat="1" ht="20.100000000000001" customHeight="1">
      <c r="B95" s="609"/>
      <c r="C95" s="610"/>
      <c r="D95" s="134" t="s">
        <v>58</v>
      </c>
      <c r="E95" s="135">
        <v>350</v>
      </c>
      <c r="F95" s="611"/>
    </row>
    <row r="96" spans="2:7" s="8" customFormat="1" ht="20.100000000000001" customHeight="1" thickBot="1">
      <c r="B96" s="619"/>
      <c r="C96" s="617"/>
      <c r="D96" s="136" t="s">
        <v>59</v>
      </c>
      <c r="E96" s="137">
        <v>149.9</v>
      </c>
      <c r="F96" s="618"/>
    </row>
    <row r="97" spans="2:8" s="6" customFormat="1" ht="35.1" customHeight="1">
      <c r="B97" s="609" t="s">
        <v>65</v>
      </c>
      <c r="C97" s="610" t="s">
        <v>66</v>
      </c>
      <c r="D97" s="138" t="s">
        <v>67</v>
      </c>
      <c r="E97" s="135">
        <v>26.67</v>
      </c>
      <c r="F97" s="611">
        <f>MEDIAN(E97:E99)</f>
        <v>26.67</v>
      </c>
    </row>
    <row r="98" spans="2:8" ht="35.1" customHeight="1">
      <c r="B98" s="609"/>
      <c r="C98" s="610"/>
      <c r="D98" s="134" t="s">
        <v>68</v>
      </c>
      <c r="E98" s="135">
        <v>20.37</v>
      </c>
      <c r="F98" s="611"/>
    </row>
    <row r="99" spans="2:8" ht="35.1" customHeight="1" thickBot="1">
      <c r="B99" s="619"/>
      <c r="C99" s="617"/>
      <c r="D99" s="136" t="s">
        <v>69</v>
      </c>
      <c r="E99" s="137">
        <v>55</v>
      </c>
      <c r="F99" s="618"/>
    </row>
    <row r="100" spans="2:8" ht="35.1" customHeight="1">
      <c r="B100" s="142"/>
      <c r="C100" s="141"/>
    </row>
    <row r="101" spans="2:8" ht="35.1" customHeight="1">
      <c r="B101" s="142"/>
      <c r="C101" s="141"/>
    </row>
    <row r="102" spans="2:8" ht="35.1" customHeight="1">
      <c r="B102" s="142"/>
      <c r="C102" s="141"/>
      <c r="G102">
        <v>0</v>
      </c>
    </row>
    <row r="104" spans="2:8" s="8" customFormat="1">
      <c r="B104" s="551" t="e">
        <f>ORÇAMENTO!#REF!</f>
        <v>#REF!</v>
      </c>
      <c r="C104" s="608" t="s">
        <v>70</v>
      </c>
      <c r="D104" s="12"/>
      <c r="E104" s="11">
        <v>17.5</v>
      </c>
      <c r="F104" s="607">
        <f>ROUND((E104+E105+E106)/3,2)</f>
        <v>15.39</v>
      </c>
      <c r="H104" s="123"/>
    </row>
    <row r="105" spans="2:8" s="8" customFormat="1">
      <c r="B105" s="551"/>
      <c r="C105" s="608"/>
      <c r="D105" s="12"/>
      <c r="E105" s="11">
        <v>12</v>
      </c>
      <c r="F105" s="607"/>
    </row>
    <row r="106" spans="2:8" s="8" customFormat="1">
      <c r="B106" s="551"/>
      <c r="C106" s="608"/>
      <c r="D106" s="12"/>
      <c r="E106" s="11">
        <v>16.670000000000002</v>
      </c>
      <c r="F106" s="607"/>
    </row>
    <row r="107" spans="2:8" s="8" customFormat="1">
      <c r="B107" s="551" t="e">
        <f>ORÇAMENTO!#REF!</f>
        <v>#REF!</v>
      </c>
      <c r="C107" s="608" t="s">
        <v>71</v>
      </c>
      <c r="D107" s="12"/>
      <c r="E107" s="11">
        <v>27</v>
      </c>
      <c r="F107" s="607">
        <f>ROUND((E107+E108+E109)/3,2)</f>
        <v>24</v>
      </c>
    </row>
    <row r="108" spans="2:8" s="8" customFormat="1">
      <c r="B108" s="551"/>
      <c r="C108" s="608"/>
      <c r="D108" s="12"/>
      <c r="E108" s="11">
        <v>20</v>
      </c>
      <c r="F108" s="607"/>
    </row>
    <row r="109" spans="2:8" s="8" customFormat="1">
      <c r="B109" s="551"/>
      <c r="C109" s="608"/>
      <c r="D109" s="12"/>
      <c r="E109" s="11">
        <v>25</v>
      </c>
      <c r="F109" s="607"/>
    </row>
  </sheetData>
  <mergeCells count="104">
    <mergeCell ref="C97:C99"/>
    <mergeCell ref="F97:F99"/>
    <mergeCell ref="B97:B99"/>
    <mergeCell ref="B94:B96"/>
    <mergeCell ref="C94:C96"/>
    <mergeCell ref="F94:F96"/>
    <mergeCell ref="B3:F3"/>
    <mergeCell ref="B2:F2"/>
    <mergeCell ref="B5:F5"/>
    <mergeCell ref="B4:F4"/>
    <mergeCell ref="B76:B78"/>
    <mergeCell ref="C76:C78"/>
    <mergeCell ref="F76:F78"/>
    <mergeCell ref="B79:B81"/>
    <mergeCell ref="C79:C81"/>
    <mergeCell ref="F79:F81"/>
    <mergeCell ref="B70:B72"/>
    <mergeCell ref="C70:C72"/>
    <mergeCell ref="F70:F72"/>
    <mergeCell ref="B73:B75"/>
    <mergeCell ref="C73:C75"/>
    <mergeCell ref="F73:F75"/>
    <mergeCell ref="B64:B66"/>
    <mergeCell ref="C64:C66"/>
    <mergeCell ref="F64:F66"/>
    <mergeCell ref="B67:B69"/>
    <mergeCell ref="C67:C69"/>
    <mergeCell ref="F67:F69"/>
    <mergeCell ref="B61:B63"/>
    <mergeCell ref="C61:C63"/>
    <mergeCell ref="F61:F63"/>
    <mergeCell ref="B55:B57"/>
    <mergeCell ref="C55:C57"/>
    <mergeCell ref="F55:F57"/>
    <mergeCell ref="B58:B60"/>
    <mergeCell ref="C58:C60"/>
    <mergeCell ref="F58:F60"/>
    <mergeCell ref="B49:B51"/>
    <mergeCell ref="C49:C51"/>
    <mergeCell ref="F49:F51"/>
    <mergeCell ref="B52:B54"/>
    <mergeCell ref="C52:C54"/>
    <mergeCell ref="F52:F54"/>
    <mergeCell ref="B43:B45"/>
    <mergeCell ref="C43:C45"/>
    <mergeCell ref="F43:F45"/>
    <mergeCell ref="B46:B48"/>
    <mergeCell ref="C46:C48"/>
    <mergeCell ref="F46:F48"/>
    <mergeCell ref="B37:B39"/>
    <mergeCell ref="C37:C39"/>
    <mergeCell ref="F37:F39"/>
    <mergeCell ref="B40:B42"/>
    <mergeCell ref="C40:C42"/>
    <mergeCell ref="F40:F42"/>
    <mergeCell ref="B31:B33"/>
    <mergeCell ref="C31:C33"/>
    <mergeCell ref="F31:F33"/>
    <mergeCell ref="B34:B36"/>
    <mergeCell ref="C34:C36"/>
    <mergeCell ref="F34:F36"/>
    <mergeCell ref="B28:B30"/>
    <mergeCell ref="C28:C30"/>
    <mergeCell ref="F28:F30"/>
    <mergeCell ref="B19:B21"/>
    <mergeCell ref="C19:C21"/>
    <mergeCell ref="F19:F21"/>
    <mergeCell ref="B22:B24"/>
    <mergeCell ref="C22:C24"/>
    <mergeCell ref="F22:F24"/>
    <mergeCell ref="F16:F18"/>
    <mergeCell ref="F7:F9"/>
    <mergeCell ref="C7:C9"/>
    <mergeCell ref="B7:B9"/>
    <mergeCell ref="B10:B12"/>
    <mergeCell ref="C10:C12"/>
    <mergeCell ref="F10:F12"/>
    <mergeCell ref="B25:B27"/>
    <mergeCell ref="C25:C27"/>
    <mergeCell ref="F25:F27"/>
    <mergeCell ref="I7:I9"/>
    <mergeCell ref="F104:F106"/>
    <mergeCell ref="F107:F109"/>
    <mergeCell ref="C104:C106"/>
    <mergeCell ref="B104:B106"/>
    <mergeCell ref="C107:C109"/>
    <mergeCell ref="B107:B109"/>
    <mergeCell ref="B82:B84"/>
    <mergeCell ref="C82:C84"/>
    <mergeCell ref="F82:F84"/>
    <mergeCell ref="B85:B87"/>
    <mergeCell ref="C85:C87"/>
    <mergeCell ref="F85:F87"/>
    <mergeCell ref="B88:B90"/>
    <mergeCell ref="C88:C90"/>
    <mergeCell ref="F88:F90"/>
    <mergeCell ref="B91:B93"/>
    <mergeCell ref="C91:C93"/>
    <mergeCell ref="F91:F93"/>
    <mergeCell ref="B13:B15"/>
    <mergeCell ref="C13:C15"/>
    <mergeCell ref="F13:F15"/>
    <mergeCell ref="B16:B18"/>
    <mergeCell ref="C16:C18"/>
  </mergeCells>
  <pageMargins left="0.70866141732283472" right="0.35433070866141736" top="0.39370078740157483" bottom="0.78" header="0.31496062992125984" footer="0.19685039370078741"/>
  <pageSetup paperSize="9" scale="71" fitToHeight="17" orientation="portrait" r:id="rId1"/>
  <headerFooter>
    <oddFooter>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workbookViewId="0"/>
  </sheetViews>
  <sheetFormatPr defaultRowHeight="15.6"/>
  <cols>
    <col min="1" max="1" width="12.88671875" style="37" bestFit="1" customWidth="1"/>
    <col min="2" max="2" width="52.44140625" style="54" customWidth="1"/>
    <col min="3" max="3" width="19.6640625" style="37" customWidth="1"/>
    <col min="4" max="4" width="16.6640625" style="37" customWidth="1"/>
    <col min="5" max="5" width="15.6640625" style="37" customWidth="1"/>
    <col min="6" max="6" width="14.5546875" style="37" customWidth="1"/>
    <col min="7" max="77" width="9.109375" style="36"/>
    <col min="78" max="242" width="9.109375" style="37"/>
    <col min="243" max="243" width="9.109375" style="37" customWidth="1"/>
    <col min="244" max="244" width="28.33203125" style="37" customWidth="1"/>
    <col min="245" max="245" width="25.109375" style="37" customWidth="1"/>
    <col min="246" max="246" width="20.33203125" style="37" customWidth="1"/>
    <col min="247" max="247" width="13.33203125" style="37" customWidth="1"/>
    <col min="248" max="248" width="14.109375" style="37" customWidth="1"/>
    <col min="249" max="249" width="11.5546875" style="37" customWidth="1"/>
    <col min="250" max="250" width="15" style="37" customWidth="1"/>
    <col min="251" max="251" width="19.44140625" style="37" customWidth="1"/>
    <col min="252" max="498" width="9.109375" style="37"/>
    <col min="499" max="499" width="9.109375" style="37" customWidth="1"/>
    <col min="500" max="500" width="28.33203125" style="37" customWidth="1"/>
    <col min="501" max="501" width="25.109375" style="37" customWidth="1"/>
    <col min="502" max="502" width="20.33203125" style="37" customWidth="1"/>
    <col min="503" max="503" width="13.33203125" style="37" customWidth="1"/>
    <col min="504" max="504" width="14.109375" style="37" customWidth="1"/>
    <col min="505" max="505" width="11.5546875" style="37" customWidth="1"/>
    <col min="506" max="506" width="15" style="37" customWidth="1"/>
    <col min="507" max="507" width="19.44140625" style="37" customWidth="1"/>
    <col min="508" max="754" width="9.109375" style="37"/>
    <col min="755" max="755" width="9.109375" style="37" customWidth="1"/>
    <col min="756" max="756" width="28.33203125" style="37" customWidth="1"/>
    <col min="757" max="757" width="25.109375" style="37" customWidth="1"/>
    <col min="758" max="758" width="20.33203125" style="37" customWidth="1"/>
    <col min="759" max="759" width="13.33203125" style="37" customWidth="1"/>
    <col min="760" max="760" width="14.109375" style="37" customWidth="1"/>
    <col min="761" max="761" width="11.5546875" style="37" customWidth="1"/>
    <col min="762" max="762" width="15" style="37" customWidth="1"/>
    <col min="763" max="763" width="19.44140625" style="37" customWidth="1"/>
    <col min="764" max="1010" width="9.109375" style="37"/>
    <col min="1011" max="1011" width="9.109375" style="37" customWidth="1"/>
    <col min="1012" max="1012" width="28.33203125" style="37" customWidth="1"/>
    <col min="1013" max="1013" width="25.109375" style="37" customWidth="1"/>
    <col min="1014" max="1014" width="20.33203125" style="37" customWidth="1"/>
    <col min="1015" max="1015" width="13.33203125" style="37" customWidth="1"/>
    <col min="1016" max="1016" width="14.109375" style="37" customWidth="1"/>
    <col min="1017" max="1017" width="11.5546875" style="37" customWidth="1"/>
    <col min="1018" max="1018" width="15" style="37" customWidth="1"/>
    <col min="1019" max="1019" width="19.44140625" style="37" customWidth="1"/>
    <col min="1020" max="1266" width="9.109375" style="37"/>
    <col min="1267" max="1267" width="9.109375" style="37" customWidth="1"/>
    <col min="1268" max="1268" width="28.33203125" style="37" customWidth="1"/>
    <col min="1269" max="1269" width="25.109375" style="37" customWidth="1"/>
    <col min="1270" max="1270" width="20.33203125" style="37" customWidth="1"/>
    <col min="1271" max="1271" width="13.33203125" style="37" customWidth="1"/>
    <col min="1272" max="1272" width="14.109375" style="37" customWidth="1"/>
    <col min="1273" max="1273" width="11.5546875" style="37" customWidth="1"/>
    <col min="1274" max="1274" width="15" style="37" customWidth="1"/>
    <col min="1275" max="1275" width="19.44140625" style="37" customWidth="1"/>
    <col min="1276" max="1522" width="9.109375" style="37"/>
    <col min="1523" max="1523" width="9.109375" style="37" customWidth="1"/>
    <col min="1524" max="1524" width="28.33203125" style="37" customWidth="1"/>
    <col min="1525" max="1525" width="25.109375" style="37" customWidth="1"/>
    <col min="1526" max="1526" width="20.33203125" style="37" customWidth="1"/>
    <col min="1527" max="1527" width="13.33203125" style="37" customWidth="1"/>
    <col min="1528" max="1528" width="14.109375" style="37" customWidth="1"/>
    <col min="1529" max="1529" width="11.5546875" style="37" customWidth="1"/>
    <col min="1530" max="1530" width="15" style="37" customWidth="1"/>
    <col min="1531" max="1531" width="19.44140625" style="37" customWidth="1"/>
    <col min="1532" max="1778" width="9.109375" style="37"/>
    <col min="1779" max="1779" width="9.109375" style="37" customWidth="1"/>
    <col min="1780" max="1780" width="28.33203125" style="37" customWidth="1"/>
    <col min="1781" max="1781" width="25.109375" style="37" customWidth="1"/>
    <col min="1782" max="1782" width="20.33203125" style="37" customWidth="1"/>
    <col min="1783" max="1783" width="13.33203125" style="37" customWidth="1"/>
    <col min="1784" max="1784" width="14.109375" style="37" customWidth="1"/>
    <col min="1785" max="1785" width="11.5546875" style="37" customWidth="1"/>
    <col min="1786" max="1786" width="15" style="37" customWidth="1"/>
    <col min="1787" max="1787" width="19.44140625" style="37" customWidth="1"/>
    <col min="1788" max="2034" width="9.109375" style="37"/>
    <col min="2035" max="2035" width="9.109375" style="37" customWidth="1"/>
    <col min="2036" max="2036" width="28.33203125" style="37" customWidth="1"/>
    <col min="2037" max="2037" width="25.109375" style="37" customWidth="1"/>
    <col min="2038" max="2038" width="20.33203125" style="37" customWidth="1"/>
    <col min="2039" max="2039" width="13.33203125" style="37" customWidth="1"/>
    <col min="2040" max="2040" width="14.109375" style="37" customWidth="1"/>
    <col min="2041" max="2041" width="11.5546875" style="37" customWidth="1"/>
    <col min="2042" max="2042" width="15" style="37" customWidth="1"/>
    <col min="2043" max="2043" width="19.44140625" style="37" customWidth="1"/>
    <col min="2044" max="2290" width="9.109375" style="37"/>
    <col min="2291" max="2291" width="9.109375" style="37" customWidth="1"/>
    <col min="2292" max="2292" width="28.33203125" style="37" customWidth="1"/>
    <col min="2293" max="2293" width="25.109375" style="37" customWidth="1"/>
    <col min="2294" max="2294" width="20.33203125" style="37" customWidth="1"/>
    <col min="2295" max="2295" width="13.33203125" style="37" customWidth="1"/>
    <col min="2296" max="2296" width="14.109375" style="37" customWidth="1"/>
    <col min="2297" max="2297" width="11.5546875" style="37" customWidth="1"/>
    <col min="2298" max="2298" width="15" style="37" customWidth="1"/>
    <col min="2299" max="2299" width="19.44140625" style="37" customWidth="1"/>
    <col min="2300" max="2546" width="9.109375" style="37"/>
    <col min="2547" max="2547" width="9.109375" style="37" customWidth="1"/>
    <col min="2548" max="2548" width="28.33203125" style="37" customWidth="1"/>
    <col min="2549" max="2549" width="25.109375" style="37" customWidth="1"/>
    <col min="2550" max="2550" width="20.33203125" style="37" customWidth="1"/>
    <col min="2551" max="2551" width="13.33203125" style="37" customWidth="1"/>
    <col min="2552" max="2552" width="14.109375" style="37" customWidth="1"/>
    <col min="2553" max="2553" width="11.5546875" style="37" customWidth="1"/>
    <col min="2554" max="2554" width="15" style="37" customWidth="1"/>
    <col min="2555" max="2555" width="19.44140625" style="37" customWidth="1"/>
    <col min="2556" max="2802" width="9.109375" style="37"/>
    <col min="2803" max="2803" width="9.109375" style="37" customWidth="1"/>
    <col min="2804" max="2804" width="28.33203125" style="37" customWidth="1"/>
    <col min="2805" max="2805" width="25.109375" style="37" customWidth="1"/>
    <col min="2806" max="2806" width="20.33203125" style="37" customWidth="1"/>
    <col min="2807" max="2807" width="13.33203125" style="37" customWidth="1"/>
    <col min="2808" max="2808" width="14.109375" style="37" customWidth="1"/>
    <col min="2809" max="2809" width="11.5546875" style="37" customWidth="1"/>
    <col min="2810" max="2810" width="15" style="37" customWidth="1"/>
    <col min="2811" max="2811" width="19.44140625" style="37" customWidth="1"/>
    <col min="2812" max="3058" width="9.109375" style="37"/>
    <col min="3059" max="3059" width="9.109375" style="37" customWidth="1"/>
    <col min="3060" max="3060" width="28.33203125" style="37" customWidth="1"/>
    <col min="3061" max="3061" width="25.109375" style="37" customWidth="1"/>
    <col min="3062" max="3062" width="20.33203125" style="37" customWidth="1"/>
    <col min="3063" max="3063" width="13.33203125" style="37" customWidth="1"/>
    <col min="3064" max="3064" width="14.109375" style="37" customWidth="1"/>
    <col min="3065" max="3065" width="11.5546875" style="37" customWidth="1"/>
    <col min="3066" max="3066" width="15" style="37" customWidth="1"/>
    <col min="3067" max="3067" width="19.44140625" style="37" customWidth="1"/>
    <col min="3068" max="3314" width="9.109375" style="37"/>
    <col min="3315" max="3315" width="9.109375" style="37" customWidth="1"/>
    <col min="3316" max="3316" width="28.33203125" style="37" customWidth="1"/>
    <col min="3317" max="3317" width="25.109375" style="37" customWidth="1"/>
    <col min="3318" max="3318" width="20.33203125" style="37" customWidth="1"/>
    <col min="3319" max="3319" width="13.33203125" style="37" customWidth="1"/>
    <col min="3320" max="3320" width="14.109375" style="37" customWidth="1"/>
    <col min="3321" max="3321" width="11.5546875" style="37" customWidth="1"/>
    <col min="3322" max="3322" width="15" style="37" customWidth="1"/>
    <col min="3323" max="3323" width="19.44140625" style="37" customWidth="1"/>
    <col min="3324" max="3570" width="9.109375" style="37"/>
    <col min="3571" max="3571" width="9.109375" style="37" customWidth="1"/>
    <col min="3572" max="3572" width="28.33203125" style="37" customWidth="1"/>
    <col min="3573" max="3573" width="25.109375" style="37" customWidth="1"/>
    <col min="3574" max="3574" width="20.33203125" style="37" customWidth="1"/>
    <col min="3575" max="3575" width="13.33203125" style="37" customWidth="1"/>
    <col min="3576" max="3576" width="14.109375" style="37" customWidth="1"/>
    <col min="3577" max="3577" width="11.5546875" style="37" customWidth="1"/>
    <col min="3578" max="3578" width="15" style="37" customWidth="1"/>
    <col min="3579" max="3579" width="19.44140625" style="37" customWidth="1"/>
    <col min="3580" max="3826" width="9.109375" style="37"/>
    <col min="3827" max="3827" width="9.109375" style="37" customWidth="1"/>
    <col min="3828" max="3828" width="28.33203125" style="37" customWidth="1"/>
    <col min="3829" max="3829" width="25.109375" style="37" customWidth="1"/>
    <col min="3830" max="3830" width="20.33203125" style="37" customWidth="1"/>
    <col min="3831" max="3831" width="13.33203125" style="37" customWidth="1"/>
    <col min="3832" max="3832" width="14.109375" style="37" customWidth="1"/>
    <col min="3833" max="3833" width="11.5546875" style="37" customWidth="1"/>
    <col min="3834" max="3834" width="15" style="37" customWidth="1"/>
    <col min="3835" max="3835" width="19.44140625" style="37" customWidth="1"/>
    <col min="3836" max="4082" width="9.109375" style="37"/>
    <col min="4083" max="4083" width="9.109375" style="37" customWidth="1"/>
    <col min="4084" max="4084" width="28.33203125" style="37" customWidth="1"/>
    <col min="4085" max="4085" width="25.109375" style="37" customWidth="1"/>
    <col min="4086" max="4086" width="20.33203125" style="37" customWidth="1"/>
    <col min="4087" max="4087" width="13.33203125" style="37" customWidth="1"/>
    <col min="4088" max="4088" width="14.109375" style="37" customWidth="1"/>
    <col min="4089" max="4089" width="11.5546875" style="37" customWidth="1"/>
    <col min="4090" max="4090" width="15" style="37" customWidth="1"/>
    <col min="4091" max="4091" width="19.44140625" style="37" customWidth="1"/>
    <col min="4092" max="4338" width="9.109375" style="37"/>
    <col min="4339" max="4339" width="9.109375" style="37" customWidth="1"/>
    <col min="4340" max="4340" width="28.33203125" style="37" customWidth="1"/>
    <col min="4341" max="4341" width="25.109375" style="37" customWidth="1"/>
    <col min="4342" max="4342" width="20.33203125" style="37" customWidth="1"/>
    <col min="4343" max="4343" width="13.33203125" style="37" customWidth="1"/>
    <col min="4344" max="4344" width="14.109375" style="37" customWidth="1"/>
    <col min="4345" max="4345" width="11.5546875" style="37" customWidth="1"/>
    <col min="4346" max="4346" width="15" style="37" customWidth="1"/>
    <col min="4347" max="4347" width="19.44140625" style="37" customWidth="1"/>
    <col min="4348" max="4594" width="9.109375" style="37"/>
    <col min="4595" max="4595" width="9.109375" style="37" customWidth="1"/>
    <col min="4596" max="4596" width="28.33203125" style="37" customWidth="1"/>
    <col min="4597" max="4597" width="25.109375" style="37" customWidth="1"/>
    <col min="4598" max="4598" width="20.33203125" style="37" customWidth="1"/>
    <col min="4599" max="4599" width="13.33203125" style="37" customWidth="1"/>
    <col min="4600" max="4600" width="14.109375" style="37" customWidth="1"/>
    <col min="4601" max="4601" width="11.5546875" style="37" customWidth="1"/>
    <col min="4602" max="4602" width="15" style="37" customWidth="1"/>
    <col min="4603" max="4603" width="19.44140625" style="37" customWidth="1"/>
    <col min="4604" max="4850" width="9.109375" style="37"/>
    <col min="4851" max="4851" width="9.109375" style="37" customWidth="1"/>
    <col min="4852" max="4852" width="28.33203125" style="37" customWidth="1"/>
    <col min="4853" max="4853" width="25.109375" style="37" customWidth="1"/>
    <col min="4854" max="4854" width="20.33203125" style="37" customWidth="1"/>
    <col min="4855" max="4855" width="13.33203125" style="37" customWidth="1"/>
    <col min="4856" max="4856" width="14.109375" style="37" customWidth="1"/>
    <col min="4857" max="4857" width="11.5546875" style="37" customWidth="1"/>
    <col min="4858" max="4858" width="15" style="37" customWidth="1"/>
    <col min="4859" max="4859" width="19.44140625" style="37" customWidth="1"/>
    <col min="4860" max="5106" width="9.109375" style="37"/>
    <col min="5107" max="5107" width="9.109375" style="37" customWidth="1"/>
    <col min="5108" max="5108" width="28.33203125" style="37" customWidth="1"/>
    <col min="5109" max="5109" width="25.109375" style="37" customWidth="1"/>
    <col min="5110" max="5110" width="20.33203125" style="37" customWidth="1"/>
    <col min="5111" max="5111" width="13.33203125" style="37" customWidth="1"/>
    <col min="5112" max="5112" width="14.109375" style="37" customWidth="1"/>
    <col min="5113" max="5113" width="11.5546875" style="37" customWidth="1"/>
    <col min="5114" max="5114" width="15" style="37" customWidth="1"/>
    <col min="5115" max="5115" width="19.44140625" style="37" customWidth="1"/>
    <col min="5116" max="5362" width="9.109375" style="37"/>
    <col min="5363" max="5363" width="9.109375" style="37" customWidth="1"/>
    <col min="5364" max="5364" width="28.33203125" style="37" customWidth="1"/>
    <col min="5365" max="5365" width="25.109375" style="37" customWidth="1"/>
    <col min="5366" max="5366" width="20.33203125" style="37" customWidth="1"/>
    <col min="5367" max="5367" width="13.33203125" style="37" customWidth="1"/>
    <col min="5368" max="5368" width="14.109375" style="37" customWidth="1"/>
    <col min="5369" max="5369" width="11.5546875" style="37" customWidth="1"/>
    <col min="5370" max="5370" width="15" style="37" customWidth="1"/>
    <col min="5371" max="5371" width="19.44140625" style="37" customWidth="1"/>
    <col min="5372" max="5618" width="9.109375" style="37"/>
    <col min="5619" max="5619" width="9.109375" style="37" customWidth="1"/>
    <col min="5620" max="5620" width="28.33203125" style="37" customWidth="1"/>
    <col min="5621" max="5621" width="25.109375" style="37" customWidth="1"/>
    <col min="5622" max="5622" width="20.33203125" style="37" customWidth="1"/>
    <col min="5623" max="5623" width="13.33203125" style="37" customWidth="1"/>
    <col min="5624" max="5624" width="14.109375" style="37" customWidth="1"/>
    <col min="5625" max="5625" width="11.5546875" style="37" customWidth="1"/>
    <col min="5626" max="5626" width="15" style="37" customWidth="1"/>
    <col min="5627" max="5627" width="19.44140625" style="37" customWidth="1"/>
    <col min="5628" max="5874" width="9.109375" style="37"/>
    <col min="5875" max="5875" width="9.109375" style="37" customWidth="1"/>
    <col min="5876" max="5876" width="28.33203125" style="37" customWidth="1"/>
    <col min="5877" max="5877" width="25.109375" style="37" customWidth="1"/>
    <col min="5878" max="5878" width="20.33203125" style="37" customWidth="1"/>
    <col min="5879" max="5879" width="13.33203125" style="37" customWidth="1"/>
    <col min="5880" max="5880" width="14.109375" style="37" customWidth="1"/>
    <col min="5881" max="5881" width="11.5546875" style="37" customWidth="1"/>
    <col min="5882" max="5882" width="15" style="37" customWidth="1"/>
    <col min="5883" max="5883" width="19.44140625" style="37" customWidth="1"/>
    <col min="5884" max="6130" width="9.109375" style="37"/>
    <col min="6131" max="6131" width="9.109375" style="37" customWidth="1"/>
    <col min="6132" max="6132" width="28.33203125" style="37" customWidth="1"/>
    <col min="6133" max="6133" width="25.109375" style="37" customWidth="1"/>
    <col min="6134" max="6134" width="20.33203125" style="37" customWidth="1"/>
    <col min="6135" max="6135" width="13.33203125" style="37" customWidth="1"/>
    <col min="6136" max="6136" width="14.109375" style="37" customWidth="1"/>
    <col min="6137" max="6137" width="11.5546875" style="37" customWidth="1"/>
    <col min="6138" max="6138" width="15" style="37" customWidth="1"/>
    <col min="6139" max="6139" width="19.44140625" style="37" customWidth="1"/>
    <col min="6140" max="6386" width="9.109375" style="37"/>
    <col min="6387" max="6387" width="9.109375" style="37" customWidth="1"/>
    <col min="6388" max="6388" width="28.33203125" style="37" customWidth="1"/>
    <col min="6389" max="6389" width="25.109375" style="37" customWidth="1"/>
    <col min="6390" max="6390" width="20.33203125" style="37" customWidth="1"/>
    <col min="6391" max="6391" width="13.33203125" style="37" customWidth="1"/>
    <col min="6392" max="6392" width="14.109375" style="37" customWidth="1"/>
    <col min="6393" max="6393" width="11.5546875" style="37" customWidth="1"/>
    <col min="6394" max="6394" width="15" style="37" customWidth="1"/>
    <col min="6395" max="6395" width="19.44140625" style="37" customWidth="1"/>
    <col min="6396" max="6642" width="9.109375" style="37"/>
    <col min="6643" max="6643" width="9.109375" style="37" customWidth="1"/>
    <col min="6644" max="6644" width="28.33203125" style="37" customWidth="1"/>
    <col min="6645" max="6645" width="25.109375" style="37" customWidth="1"/>
    <col min="6646" max="6646" width="20.33203125" style="37" customWidth="1"/>
    <col min="6647" max="6647" width="13.33203125" style="37" customWidth="1"/>
    <col min="6648" max="6648" width="14.109375" style="37" customWidth="1"/>
    <col min="6649" max="6649" width="11.5546875" style="37" customWidth="1"/>
    <col min="6650" max="6650" width="15" style="37" customWidth="1"/>
    <col min="6651" max="6651" width="19.44140625" style="37" customWidth="1"/>
    <col min="6652" max="6898" width="9.109375" style="37"/>
    <col min="6899" max="6899" width="9.109375" style="37" customWidth="1"/>
    <col min="6900" max="6900" width="28.33203125" style="37" customWidth="1"/>
    <col min="6901" max="6901" width="25.109375" style="37" customWidth="1"/>
    <col min="6902" max="6902" width="20.33203125" style="37" customWidth="1"/>
    <col min="6903" max="6903" width="13.33203125" style="37" customWidth="1"/>
    <col min="6904" max="6904" width="14.109375" style="37" customWidth="1"/>
    <col min="6905" max="6905" width="11.5546875" style="37" customWidth="1"/>
    <col min="6906" max="6906" width="15" style="37" customWidth="1"/>
    <col min="6907" max="6907" width="19.44140625" style="37" customWidth="1"/>
    <col min="6908" max="7154" width="9.109375" style="37"/>
    <col min="7155" max="7155" width="9.109375" style="37" customWidth="1"/>
    <col min="7156" max="7156" width="28.33203125" style="37" customWidth="1"/>
    <col min="7157" max="7157" width="25.109375" style="37" customWidth="1"/>
    <col min="7158" max="7158" width="20.33203125" style="37" customWidth="1"/>
    <col min="7159" max="7159" width="13.33203125" style="37" customWidth="1"/>
    <col min="7160" max="7160" width="14.109375" style="37" customWidth="1"/>
    <col min="7161" max="7161" width="11.5546875" style="37" customWidth="1"/>
    <col min="7162" max="7162" width="15" style="37" customWidth="1"/>
    <col min="7163" max="7163" width="19.44140625" style="37" customWidth="1"/>
    <col min="7164" max="7410" width="9.109375" style="37"/>
    <col min="7411" max="7411" width="9.109375" style="37" customWidth="1"/>
    <col min="7412" max="7412" width="28.33203125" style="37" customWidth="1"/>
    <col min="7413" max="7413" width="25.109375" style="37" customWidth="1"/>
    <col min="7414" max="7414" width="20.33203125" style="37" customWidth="1"/>
    <col min="7415" max="7415" width="13.33203125" style="37" customWidth="1"/>
    <col min="7416" max="7416" width="14.109375" style="37" customWidth="1"/>
    <col min="7417" max="7417" width="11.5546875" style="37" customWidth="1"/>
    <col min="7418" max="7418" width="15" style="37" customWidth="1"/>
    <col min="7419" max="7419" width="19.44140625" style="37" customWidth="1"/>
    <col min="7420" max="7666" width="9.109375" style="37"/>
    <col min="7667" max="7667" width="9.109375" style="37" customWidth="1"/>
    <col min="7668" max="7668" width="28.33203125" style="37" customWidth="1"/>
    <col min="7669" max="7669" width="25.109375" style="37" customWidth="1"/>
    <col min="7670" max="7670" width="20.33203125" style="37" customWidth="1"/>
    <col min="7671" max="7671" width="13.33203125" style="37" customWidth="1"/>
    <col min="7672" max="7672" width="14.109375" style="37" customWidth="1"/>
    <col min="7673" max="7673" width="11.5546875" style="37" customWidth="1"/>
    <col min="7674" max="7674" width="15" style="37" customWidth="1"/>
    <col min="7675" max="7675" width="19.44140625" style="37" customWidth="1"/>
    <col min="7676" max="7922" width="9.109375" style="37"/>
    <col min="7923" max="7923" width="9.109375" style="37" customWidth="1"/>
    <col min="7924" max="7924" width="28.33203125" style="37" customWidth="1"/>
    <col min="7925" max="7925" width="25.109375" style="37" customWidth="1"/>
    <col min="7926" max="7926" width="20.33203125" style="37" customWidth="1"/>
    <col min="7927" max="7927" width="13.33203125" style="37" customWidth="1"/>
    <col min="7928" max="7928" width="14.109375" style="37" customWidth="1"/>
    <col min="7929" max="7929" width="11.5546875" style="37" customWidth="1"/>
    <col min="7930" max="7930" width="15" style="37" customWidth="1"/>
    <col min="7931" max="7931" width="19.44140625" style="37" customWidth="1"/>
    <col min="7932" max="8178" width="9.109375" style="37"/>
    <col min="8179" max="8179" width="9.109375" style="37" customWidth="1"/>
    <col min="8180" max="8180" width="28.33203125" style="37" customWidth="1"/>
    <col min="8181" max="8181" width="25.109375" style="37" customWidth="1"/>
    <col min="8182" max="8182" width="20.33203125" style="37" customWidth="1"/>
    <col min="8183" max="8183" width="13.33203125" style="37" customWidth="1"/>
    <col min="8184" max="8184" width="14.109375" style="37" customWidth="1"/>
    <col min="8185" max="8185" width="11.5546875" style="37" customWidth="1"/>
    <col min="8186" max="8186" width="15" style="37" customWidth="1"/>
    <col min="8187" max="8187" width="19.44140625" style="37" customWidth="1"/>
    <col min="8188" max="8434" width="9.109375" style="37"/>
    <col min="8435" max="8435" width="9.109375" style="37" customWidth="1"/>
    <col min="8436" max="8436" width="28.33203125" style="37" customWidth="1"/>
    <col min="8437" max="8437" width="25.109375" style="37" customWidth="1"/>
    <col min="8438" max="8438" width="20.33203125" style="37" customWidth="1"/>
    <col min="8439" max="8439" width="13.33203125" style="37" customWidth="1"/>
    <col min="8440" max="8440" width="14.109375" style="37" customWidth="1"/>
    <col min="8441" max="8441" width="11.5546875" style="37" customWidth="1"/>
    <col min="8442" max="8442" width="15" style="37" customWidth="1"/>
    <col min="8443" max="8443" width="19.44140625" style="37" customWidth="1"/>
    <col min="8444" max="8690" width="9.109375" style="37"/>
    <col min="8691" max="8691" width="9.109375" style="37" customWidth="1"/>
    <col min="8692" max="8692" width="28.33203125" style="37" customWidth="1"/>
    <col min="8693" max="8693" width="25.109375" style="37" customWidth="1"/>
    <col min="8694" max="8694" width="20.33203125" style="37" customWidth="1"/>
    <col min="8695" max="8695" width="13.33203125" style="37" customWidth="1"/>
    <col min="8696" max="8696" width="14.109375" style="37" customWidth="1"/>
    <col min="8697" max="8697" width="11.5546875" style="37" customWidth="1"/>
    <col min="8698" max="8698" width="15" style="37" customWidth="1"/>
    <col min="8699" max="8699" width="19.44140625" style="37" customWidth="1"/>
    <col min="8700" max="8946" width="9.109375" style="37"/>
    <col min="8947" max="8947" width="9.109375" style="37" customWidth="1"/>
    <col min="8948" max="8948" width="28.33203125" style="37" customWidth="1"/>
    <col min="8949" max="8949" width="25.109375" style="37" customWidth="1"/>
    <col min="8950" max="8950" width="20.33203125" style="37" customWidth="1"/>
    <col min="8951" max="8951" width="13.33203125" style="37" customWidth="1"/>
    <col min="8952" max="8952" width="14.109375" style="37" customWidth="1"/>
    <col min="8953" max="8953" width="11.5546875" style="37" customWidth="1"/>
    <col min="8954" max="8954" width="15" style="37" customWidth="1"/>
    <col min="8955" max="8955" width="19.44140625" style="37" customWidth="1"/>
    <col min="8956" max="9202" width="9.109375" style="37"/>
    <col min="9203" max="9203" width="9.109375" style="37" customWidth="1"/>
    <col min="9204" max="9204" width="28.33203125" style="37" customWidth="1"/>
    <col min="9205" max="9205" width="25.109375" style="37" customWidth="1"/>
    <col min="9206" max="9206" width="20.33203125" style="37" customWidth="1"/>
    <col min="9207" max="9207" width="13.33203125" style="37" customWidth="1"/>
    <col min="9208" max="9208" width="14.109375" style="37" customWidth="1"/>
    <col min="9209" max="9209" width="11.5546875" style="37" customWidth="1"/>
    <col min="9210" max="9210" width="15" style="37" customWidth="1"/>
    <col min="9211" max="9211" width="19.44140625" style="37" customWidth="1"/>
    <col min="9212" max="9458" width="9.109375" style="37"/>
    <col min="9459" max="9459" width="9.109375" style="37" customWidth="1"/>
    <col min="9460" max="9460" width="28.33203125" style="37" customWidth="1"/>
    <col min="9461" max="9461" width="25.109375" style="37" customWidth="1"/>
    <col min="9462" max="9462" width="20.33203125" style="37" customWidth="1"/>
    <col min="9463" max="9463" width="13.33203125" style="37" customWidth="1"/>
    <col min="9464" max="9464" width="14.109375" style="37" customWidth="1"/>
    <col min="9465" max="9465" width="11.5546875" style="37" customWidth="1"/>
    <col min="9466" max="9466" width="15" style="37" customWidth="1"/>
    <col min="9467" max="9467" width="19.44140625" style="37" customWidth="1"/>
    <col min="9468" max="9714" width="9.109375" style="37"/>
    <col min="9715" max="9715" width="9.109375" style="37" customWidth="1"/>
    <col min="9716" max="9716" width="28.33203125" style="37" customWidth="1"/>
    <col min="9717" max="9717" width="25.109375" style="37" customWidth="1"/>
    <col min="9718" max="9718" width="20.33203125" style="37" customWidth="1"/>
    <col min="9719" max="9719" width="13.33203125" style="37" customWidth="1"/>
    <col min="9720" max="9720" width="14.109375" style="37" customWidth="1"/>
    <col min="9721" max="9721" width="11.5546875" style="37" customWidth="1"/>
    <col min="9722" max="9722" width="15" style="37" customWidth="1"/>
    <col min="9723" max="9723" width="19.44140625" style="37" customWidth="1"/>
    <col min="9724" max="9970" width="9.109375" style="37"/>
    <col min="9971" max="9971" width="9.109375" style="37" customWidth="1"/>
    <col min="9972" max="9972" width="28.33203125" style="37" customWidth="1"/>
    <col min="9973" max="9973" width="25.109375" style="37" customWidth="1"/>
    <col min="9974" max="9974" width="20.33203125" style="37" customWidth="1"/>
    <col min="9975" max="9975" width="13.33203125" style="37" customWidth="1"/>
    <col min="9976" max="9976" width="14.109375" style="37" customWidth="1"/>
    <col min="9977" max="9977" width="11.5546875" style="37" customWidth="1"/>
    <col min="9978" max="9978" width="15" style="37" customWidth="1"/>
    <col min="9979" max="9979" width="19.44140625" style="37" customWidth="1"/>
    <col min="9980" max="10226" width="9.109375" style="37"/>
    <col min="10227" max="10227" width="9.109375" style="37" customWidth="1"/>
    <col min="10228" max="10228" width="28.33203125" style="37" customWidth="1"/>
    <col min="10229" max="10229" width="25.109375" style="37" customWidth="1"/>
    <col min="10230" max="10230" width="20.33203125" style="37" customWidth="1"/>
    <col min="10231" max="10231" width="13.33203125" style="37" customWidth="1"/>
    <col min="10232" max="10232" width="14.109375" style="37" customWidth="1"/>
    <col min="10233" max="10233" width="11.5546875" style="37" customWidth="1"/>
    <col min="10234" max="10234" width="15" style="37" customWidth="1"/>
    <col min="10235" max="10235" width="19.44140625" style="37" customWidth="1"/>
    <col min="10236" max="10482" width="9.109375" style="37"/>
    <col min="10483" max="10483" width="9.109375" style="37" customWidth="1"/>
    <col min="10484" max="10484" width="28.33203125" style="37" customWidth="1"/>
    <col min="10485" max="10485" width="25.109375" style="37" customWidth="1"/>
    <col min="10486" max="10486" width="20.33203125" style="37" customWidth="1"/>
    <col min="10487" max="10487" width="13.33203125" style="37" customWidth="1"/>
    <col min="10488" max="10488" width="14.109375" style="37" customWidth="1"/>
    <col min="10489" max="10489" width="11.5546875" style="37" customWidth="1"/>
    <col min="10490" max="10490" width="15" style="37" customWidth="1"/>
    <col min="10491" max="10491" width="19.44140625" style="37" customWidth="1"/>
    <col min="10492" max="10738" width="9.109375" style="37"/>
    <col min="10739" max="10739" width="9.109375" style="37" customWidth="1"/>
    <col min="10740" max="10740" width="28.33203125" style="37" customWidth="1"/>
    <col min="10741" max="10741" width="25.109375" style="37" customWidth="1"/>
    <col min="10742" max="10742" width="20.33203125" style="37" customWidth="1"/>
    <col min="10743" max="10743" width="13.33203125" style="37" customWidth="1"/>
    <col min="10744" max="10744" width="14.109375" style="37" customWidth="1"/>
    <col min="10745" max="10745" width="11.5546875" style="37" customWidth="1"/>
    <col min="10746" max="10746" width="15" style="37" customWidth="1"/>
    <col min="10747" max="10747" width="19.44140625" style="37" customWidth="1"/>
    <col min="10748" max="10994" width="9.109375" style="37"/>
    <col min="10995" max="10995" width="9.109375" style="37" customWidth="1"/>
    <col min="10996" max="10996" width="28.33203125" style="37" customWidth="1"/>
    <col min="10997" max="10997" width="25.109375" style="37" customWidth="1"/>
    <col min="10998" max="10998" width="20.33203125" style="37" customWidth="1"/>
    <col min="10999" max="10999" width="13.33203125" style="37" customWidth="1"/>
    <col min="11000" max="11000" width="14.109375" style="37" customWidth="1"/>
    <col min="11001" max="11001" width="11.5546875" style="37" customWidth="1"/>
    <col min="11002" max="11002" width="15" style="37" customWidth="1"/>
    <col min="11003" max="11003" width="19.44140625" style="37" customWidth="1"/>
    <col min="11004" max="11250" width="9.109375" style="37"/>
    <col min="11251" max="11251" width="9.109375" style="37" customWidth="1"/>
    <col min="11252" max="11252" width="28.33203125" style="37" customWidth="1"/>
    <col min="11253" max="11253" width="25.109375" style="37" customWidth="1"/>
    <col min="11254" max="11254" width="20.33203125" style="37" customWidth="1"/>
    <col min="11255" max="11255" width="13.33203125" style="37" customWidth="1"/>
    <col min="11256" max="11256" width="14.109375" style="37" customWidth="1"/>
    <col min="11257" max="11257" width="11.5546875" style="37" customWidth="1"/>
    <col min="11258" max="11258" width="15" style="37" customWidth="1"/>
    <col min="11259" max="11259" width="19.44140625" style="37" customWidth="1"/>
    <col min="11260" max="11506" width="9.109375" style="37"/>
    <col min="11507" max="11507" width="9.109375" style="37" customWidth="1"/>
    <col min="11508" max="11508" width="28.33203125" style="37" customWidth="1"/>
    <col min="11509" max="11509" width="25.109375" style="37" customWidth="1"/>
    <col min="11510" max="11510" width="20.33203125" style="37" customWidth="1"/>
    <col min="11511" max="11511" width="13.33203125" style="37" customWidth="1"/>
    <col min="11512" max="11512" width="14.109375" style="37" customWidth="1"/>
    <col min="11513" max="11513" width="11.5546875" style="37" customWidth="1"/>
    <col min="11514" max="11514" width="15" style="37" customWidth="1"/>
    <col min="11515" max="11515" width="19.44140625" style="37" customWidth="1"/>
    <col min="11516" max="11762" width="9.109375" style="37"/>
    <col min="11763" max="11763" width="9.109375" style="37" customWidth="1"/>
    <col min="11764" max="11764" width="28.33203125" style="37" customWidth="1"/>
    <col min="11765" max="11765" width="25.109375" style="37" customWidth="1"/>
    <col min="11766" max="11766" width="20.33203125" style="37" customWidth="1"/>
    <col min="11767" max="11767" width="13.33203125" style="37" customWidth="1"/>
    <col min="11768" max="11768" width="14.109375" style="37" customWidth="1"/>
    <col min="11769" max="11769" width="11.5546875" style="37" customWidth="1"/>
    <col min="11770" max="11770" width="15" style="37" customWidth="1"/>
    <col min="11771" max="11771" width="19.44140625" style="37" customWidth="1"/>
    <col min="11772" max="12018" width="9.109375" style="37"/>
    <col min="12019" max="12019" width="9.109375" style="37" customWidth="1"/>
    <col min="12020" max="12020" width="28.33203125" style="37" customWidth="1"/>
    <col min="12021" max="12021" width="25.109375" style="37" customWidth="1"/>
    <col min="12022" max="12022" width="20.33203125" style="37" customWidth="1"/>
    <col min="12023" max="12023" width="13.33203125" style="37" customWidth="1"/>
    <col min="12024" max="12024" width="14.109375" style="37" customWidth="1"/>
    <col min="12025" max="12025" width="11.5546875" style="37" customWidth="1"/>
    <col min="12026" max="12026" width="15" style="37" customWidth="1"/>
    <col min="12027" max="12027" width="19.44140625" style="37" customWidth="1"/>
    <col min="12028" max="12274" width="9.109375" style="37"/>
    <col min="12275" max="12275" width="9.109375" style="37" customWidth="1"/>
    <col min="12276" max="12276" width="28.33203125" style="37" customWidth="1"/>
    <col min="12277" max="12277" width="25.109375" style="37" customWidth="1"/>
    <col min="12278" max="12278" width="20.33203125" style="37" customWidth="1"/>
    <col min="12279" max="12279" width="13.33203125" style="37" customWidth="1"/>
    <col min="12280" max="12280" width="14.109375" style="37" customWidth="1"/>
    <col min="12281" max="12281" width="11.5546875" style="37" customWidth="1"/>
    <col min="12282" max="12282" width="15" style="37" customWidth="1"/>
    <col min="12283" max="12283" width="19.44140625" style="37" customWidth="1"/>
    <col min="12284" max="12530" width="9.109375" style="37"/>
    <col min="12531" max="12531" width="9.109375" style="37" customWidth="1"/>
    <col min="12532" max="12532" width="28.33203125" style="37" customWidth="1"/>
    <col min="12533" max="12533" width="25.109375" style="37" customWidth="1"/>
    <col min="12534" max="12534" width="20.33203125" style="37" customWidth="1"/>
    <col min="12535" max="12535" width="13.33203125" style="37" customWidth="1"/>
    <col min="12536" max="12536" width="14.109375" style="37" customWidth="1"/>
    <col min="12537" max="12537" width="11.5546875" style="37" customWidth="1"/>
    <col min="12538" max="12538" width="15" style="37" customWidth="1"/>
    <col min="12539" max="12539" width="19.44140625" style="37" customWidth="1"/>
    <col min="12540" max="12786" width="9.109375" style="37"/>
    <col min="12787" max="12787" width="9.109375" style="37" customWidth="1"/>
    <col min="12788" max="12788" width="28.33203125" style="37" customWidth="1"/>
    <col min="12789" max="12789" width="25.109375" style="37" customWidth="1"/>
    <col min="12790" max="12790" width="20.33203125" style="37" customWidth="1"/>
    <col min="12791" max="12791" width="13.33203125" style="37" customWidth="1"/>
    <col min="12792" max="12792" width="14.109375" style="37" customWidth="1"/>
    <col min="12793" max="12793" width="11.5546875" style="37" customWidth="1"/>
    <col min="12794" max="12794" width="15" style="37" customWidth="1"/>
    <col min="12795" max="12795" width="19.44140625" style="37" customWidth="1"/>
    <col min="12796" max="13042" width="9.109375" style="37"/>
    <col min="13043" max="13043" width="9.109375" style="37" customWidth="1"/>
    <col min="13044" max="13044" width="28.33203125" style="37" customWidth="1"/>
    <col min="13045" max="13045" width="25.109375" style="37" customWidth="1"/>
    <col min="13046" max="13046" width="20.33203125" style="37" customWidth="1"/>
    <col min="13047" max="13047" width="13.33203125" style="37" customWidth="1"/>
    <col min="13048" max="13048" width="14.109375" style="37" customWidth="1"/>
    <col min="13049" max="13049" width="11.5546875" style="37" customWidth="1"/>
    <col min="13050" max="13050" width="15" style="37" customWidth="1"/>
    <col min="13051" max="13051" width="19.44140625" style="37" customWidth="1"/>
    <col min="13052" max="13298" width="9.109375" style="37"/>
    <col min="13299" max="13299" width="9.109375" style="37" customWidth="1"/>
    <col min="13300" max="13300" width="28.33203125" style="37" customWidth="1"/>
    <col min="13301" max="13301" width="25.109375" style="37" customWidth="1"/>
    <col min="13302" max="13302" width="20.33203125" style="37" customWidth="1"/>
    <col min="13303" max="13303" width="13.33203125" style="37" customWidth="1"/>
    <col min="13304" max="13304" width="14.109375" style="37" customWidth="1"/>
    <col min="13305" max="13305" width="11.5546875" style="37" customWidth="1"/>
    <col min="13306" max="13306" width="15" style="37" customWidth="1"/>
    <col min="13307" max="13307" width="19.44140625" style="37" customWidth="1"/>
    <col min="13308" max="13554" width="9.109375" style="37"/>
    <col min="13555" max="13555" width="9.109375" style="37" customWidth="1"/>
    <col min="13556" max="13556" width="28.33203125" style="37" customWidth="1"/>
    <col min="13557" max="13557" width="25.109375" style="37" customWidth="1"/>
    <col min="13558" max="13558" width="20.33203125" style="37" customWidth="1"/>
    <col min="13559" max="13559" width="13.33203125" style="37" customWidth="1"/>
    <col min="13560" max="13560" width="14.109375" style="37" customWidth="1"/>
    <col min="13561" max="13561" width="11.5546875" style="37" customWidth="1"/>
    <col min="13562" max="13562" width="15" style="37" customWidth="1"/>
    <col min="13563" max="13563" width="19.44140625" style="37" customWidth="1"/>
    <col min="13564" max="13810" width="9.109375" style="37"/>
    <col min="13811" max="13811" width="9.109375" style="37" customWidth="1"/>
    <col min="13812" max="13812" width="28.33203125" style="37" customWidth="1"/>
    <col min="13813" max="13813" width="25.109375" style="37" customWidth="1"/>
    <col min="13814" max="13814" width="20.33203125" style="37" customWidth="1"/>
    <col min="13815" max="13815" width="13.33203125" style="37" customWidth="1"/>
    <col min="13816" max="13816" width="14.109375" style="37" customWidth="1"/>
    <col min="13817" max="13817" width="11.5546875" style="37" customWidth="1"/>
    <col min="13818" max="13818" width="15" style="37" customWidth="1"/>
    <col min="13819" max="13819" width="19.44140625" style="37" customWidth="1"/>
    <col min="13820" max="14066" width="9.109375" style="37"/>
    <col min="14067" max="14067" width="9.109375" style="37" customWidth="1"/>
    <col min="14068" max="14068" width="28.33203125" style="37" customWidth="1"/>
    <col min="14069" max="14069" width="25.109375" style="37" customWidth="1"/>
    <col min="14070" max="14070" width="20.33203125" style="37" customWidth="1"/>
    <col min="14071" max="14071" width="13.33203125" style="37" customWidth="1"/>
    <col min="14072" max="14072" width="14.109375" style="37" customWidth="1"/>
    <col min="14073" max="14073" width="11.5546875" style="37" customWidth="1"/>
    <col min="14074" max="14074" width="15" style="37" customWidth="1"/>
    <col min="14075" max="14075" width="19.44140625" style="37" customWidth="1"/>
    <col min="14076" max="14322" width="9.109375" style="37"/>
    <col min="14323" max="14323" width="9.109375" style="37" customWidth="1"/>
    <col min="14324" max="14324" width="28.33203125" style="37" customWidth="1"/>
    <col min="14325" max="14325" width="25.109375" style="37" customWidth="1"/>
    <col min="14326" max="14326" width="20.33203125" style="37" customWidth="1"/>
    <col min="14327" max="14327" width="13.33203125" style="37" customWidth="1"/>
    <col min="14328" max="14328" width="14.109375" style="37" customWidth="1"/>
    <col min="14329" max="14329" width="11.5546875" style="37" customWidth="1"/>
    <col min="14330" max="14330" width="15" style="37" customWidth="1"/>
    <col min="14331" max="14331" width="19.44140625" style="37" customWidth="1"/>
    <col min="14332" max="14578" width="9.109375" style="37"/>
    <col min="14579" max="14579" width="9.109375" style="37" customWidth="1"/>
    <col min="14580" max="14580" width="28.33203125" style="37" customWidth="1"/>
    <col min="14581" max="14581" width="25.109375" style="37" customWidth="1"/>
    <col min="14582" max="14582" width="20.33203125" style="37" customWidth="1"/>
    <col min="14583" max="14583" width="13.33203125" style="37" customWidth="1"/>
    <col min="14584" max="14584" width="14.109375" style="37" customWidth="1"/>
    <col min="14585" max="14585" width="11.5546875" style="37" customWidth="1"/>
    <col min="14586" max="14586" width="15" style="37" customWidth="1"/>
    <col min="14587" max="14587" width="19.44140625" style="37" customWidth="1"/>
    <col min="14588" max="14834" width="9.109375" style="37"/>
    <col min="14835" max="14835" width="9.109375" style="37" customWidth="1"/>
    <col min="14836" max="14836" width="28.33203125" style="37" customWidth="1"/>
    <col min="14837" max="14837" width="25.109375" style="37" customWidth="1"/>
    <col min="14838" max="14838" width="20.33203125" style="37" customWidth="1"/>
    <col min="14839" max="14839" width="13.33203125" style="37" customWidth="1"/>
    <col min="14840" max="14840" width="14.109375" style="37" customWidth="1"/>
    <col min="14841" max="14841" width="11.5546875" style="37" customWidth="1"/>
    <col min="14842" max="14842" width="15" style="37" customWidth="1"/>
    <col min="14843" max="14843" width="19.44140625" style="37" customWidth="1"/>
    <col min="14844" max="15090" width="9.109375" style="37"/>
    <col min="15091" max="15091" width="9.109375" style="37" customWidth="1"/>
    <col min="15092" max="15092" width="28.33203125" style="37" customWidth="1"/>
    <col min="15093" max="15093" width="25.109375" style="37" customWidth="1"/>
    <col min="15094" max="15094" width="20.33203125" style="37" customWidth="1"/>
    <col min="15095" max="15095" width="13.33203125" style="37" customWidth="1"/>
    <col min="15096" max="15096" width="14.109375" style="37" customWidth="1"/>
    <col min="15097" max="15097" width="11.5546875" style="37" customWidth="1"/>
    <col min="15098" max="15098" width="15" style="37" customWidth="1"/>
    <col min="15099" max="15099" width="19.44140625" style="37" customWidth="1"/>
    <col min="15100" max="15346" width="9.109375" style="37"/>
    <col min="15347" max="15347" width="9.109375" style="37" customWidth="1"/>
    <col min="15348" max="15348" width="28.33203125" style="37" customWidth="1"/>
    <col min="15349" max="15349" width="25.109375" style="37" customWidth="1"/>
    <col min="15350" max="15350" width="20.33203125" style="37" customWidth="1"/>
    <col min="15351" max="15351" width="13.33203125" style="37" customWidth="1"/>
    <col min="15352" max="15352" width="14.109375" style="37" customWidth="1"/>
    <col min="15353" max="15353" width="11.5546875" style="37" customWidth="1"/>
    <col min="15354" max="15354" width="15" style="37" customWidth="1"/>
    <col min="15355" max="15355" width="19.44140625" style="37" customWidth="1"/>
    <col min="15356" max="15602" width="9.109375" style="37"/>
    <col min="15603" max="15603" width="9.109375" style="37" customWidth="1"/>
    <col min="15604" max="15604" width="28.33203125" style="37" customWidth="1"/>
    <col min="15605" max="15605" width="25.109375" style="37" customWidth="1"/>
    <col min="15606" max="15606" width="20.33203125" style="37" customWidth="1"/>
    <col min="15607" max="15607" width="13.33203125" style="37" customWidth="1"/>
    <col min="15608" max="15608" width="14.109375" style="37" customWidth="1"/>
    <col min="15609" max="15609" width="11.5546875" style="37" customWidth="1"/>
    <col min="15610" max="15610" width="15" style="37" customWidth="1"/>
    <col min="15611" max="15611" width="19.44140625" style="37" customWidth="1"/>
    <col min="15612" max="15858" width="9.109375" style="37"/>
    <col min="15859" max="15859" width="9.109375" style="37" customWidth="1"/>
    <col min="15860" max="15860" width="28.33203125" style="37" customWidth="1"/>
    <col min="15861" max="15861" width="25.109375" style="37" customWidth="1"/>
    <col min="15862" max="15862" width="20.33203125" style="37" customWidth="1"/>
    <col min="15863" max="15863" width="13.33203125" style="37" customWidth="1"/>
    <col min="15864" max="15864" width="14.109375" style="37" customWidth="1"/>
    <col min="15865" max="15865" width="11.5546875" style="37" customWidth="1"/>
    <col min="15866" max="15866" width="15" style="37" customWidth="1"/>
    <col min="15867" max="15867" width="19.44140625" style="37" customWidth="1"/>
    <col min="15868" max="16114" width="9.109375" style="37"/>
    <col min="16115" max="16115" width="9.109375" style="37" customWidth="1"/>
    <col min="16116" max="16116" width="28.33203125" style="37" customWidth="1"/>
    <col min="16117" max="16117" width="25.109375" style="37" customWidth="1"/>
    <col min="16118" max="16118" width="20.33203125" style="37" customWidth="1"/>
    <col min="16119" max="16119" width="13.33203125" style="37" customWidth="1"/>
    <col min="16120" max="16120" width="14.109375" style="37" customWidth="1"/>
    <col min="16121" max="16121" width="11.5546875" style="37" customWidth="1"/>
    <col min="16122" max="16122" width="15" style="37" customWidth="1"/>
    <col min="16123" max="16123" width="19.44140625" style="37" customWidth="1"/>
    <col min="16124" max="16384" width="9.109375" style="37"/>
  </cols>
  <sheetData>
    <row r="1" spans="1:77" s="18" customFormat="1" ht="13.2">
      <c r="A1" s="15"/>
      <c r="B1" s="16"/>
      <c r="C1" s="17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</row>
    <row r="2" spans="1:77" s="18" customFormat="1" ht="38.25" customHeight="1">
      <c r="A2" s="629"/>
      <c r="B2" s="630"/>
      <c r="C2" s="635" t="s">
        <v>72</v>
      </c>
      <c r="D2" s="636"/>
      <c r="E2" s="637" t="s">
        <v>73</v>
      </c>
      <c r="F2" s="63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</row>
    <row r="3" spans="1:77" s="18" customFormat="1" ht="20.25" customHeight="1">
      <c r="A3" s="631"/>
      <c r="B3" s="632"/>
      <c r="C3" s="639" t="s">
        <v>74</v>
      </c>
      <c r="D3" s="643"/>
      <c r="E3" s="639"/>
      <c r="F3" s="64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</row>
    <row r="4" spans="1:77" s="18" customFormat="1" ht="36" customHeight="1">
      <c r="A4" s="633"/>
      <c r="B4" s="634"/>
      <c r="C4" s="644" t="s">
        <v>75</v>
      </c>
      <c r="D4" s="645"/>
      <c r="E4" s="641"/>
      <c r="F4" s="64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</row>
    <row r="5" spans="1:77" s="18" customFormat="1" ht="13.8">
      <c r="A5" s="646"/>
      <c r="B5" s="647"/>
      <c r="C5" s="647"/>
      <c r="D5" s="647"/>
      <c r="E5" s="647"/>
      <c r="F5" s="64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</row>
    <row r="6" spans="1:77" s="18" customFormat="1" ht="13.8">
      <c r="A6" s="20" t="s">
        <v>76</v>
      </c>
      <c r="B6" s="648" t="str">
        <f>'[1]estimativa de custo IRMA DULCE'!B6:D6</f>
        <v>CASA IRMÃ DULCE</v>
      </c>
      <c r="C6" s="649"/>
      <c r="D6" s="650"/>
      <c r="E6" s="21" t="s">
        <v>77</v>
      </c>
      <c r="F6" s="22">
        <f>'[1]estimativa de custo IRMA DULCE'!$I$6</f>
        <v>0.87370000000000003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</row>
    <row r="7" spans="1:77" s="18" customFormat="1" ht="14.25" customHeight="1">
      <c r="A7" s="23" t="s">
        <v>78</v>
      </c>
      <c r="B7" s="651" t="str">
        <f>'[1]estimativa de custo IRMA DULCE'!B7:D7</f>
        <v>RUA PEDRO CELESTINO, Nº 72 E 82, BAIRRO CENTRO, CUIABÁ - MATO GROSSO</v>
      </c>
      <c r="C7" s="652"/>
      <c r="D7" s="653"/>
      <c r="E7" s="24" t="s">
        <v>79</v>
      </c>
      <c r="F7" s="25">
        <f>'[1]estimativa de custo IRMA DULCE'!$I$7</f>
        <v>0.27279999999999999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</row>
    <row r="8" spans="1:77" s="18" customFormat="1" ht="14.25" customHeight="1">
      <c r="A8" s="26"/>
      <c r="B8" s="27"/>
      <c r="C8" s="27"/>
      <c r="D8" s="27"/>
      <c r="E8" s="28"/>
      <c r="F8" s="2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</row>
    <row r="9" spans="1:77" s="18" customFormat="1" ht="15" customHeight="1">
      <c r="A9" s="654" t="s">
        <v>80</v>
      </c>
      <c r="B9" s="655"/>
      <c r="C9" s="655"/>
      <c r="D9" s="655"/>
      <c r="E9" s="655"/>
      <c r="F9" s="65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</row>
    <row r="10" spans="1:77" s="18" customFormat="1" ht="15" customHeight="1" thickBot="1">
      <c r="A10" s="30"/>
      <c r="B10" s="30"/>
      <c r="C10" s="30"/>
      <c r="D10" s="30"/>
      <c r="E10" s="30"/>
      <c r="F10" s="3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</row>
    <row r="11" spans="1:77" s="18" customFormat="1" ht="15" customHeight="1">
      <c r="A11" s="30"/>
      <c r="B11" s="31" t="s">
        <v>14</v>
      </c>
      <c r="C11" s="31" t="s">
        <v>81</v>
      </c>
      <c r="D11" s="32" t="s">
        <v>82</v>
      </c>
      <c r="E11" s="31" t="s">
        <v>83</v>
      </c>
      <c r="F11" s="33" t="s">
        <v>84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1:77" s="18" customFormat="1" ht="15" customHeight="1">
      <c r="A12" s="656" t="s">
        <v>85</v>
      </c>
      <c r="B12" s="145" t="s">
        <v>86</v>
      </c>
      <c r="C12" s="145" t="s">
        <v>87</v>
      </c>
      <c r="D12" s="34" t="s">
        <v>88</v>
      </c>
      <c r="E12" s="145" t="s">
        <v>89</v>
      </c>
      <c r="F12" s="35">
        <v>41694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1:77" s="18" customFormat="1" ht="15" customHeight="1">
      <c r="A13" s="656"/>
      <c r="B13" s="145" t="s">
        <v>90</v>
      </c>
      <c r="C13" s="145" t="s">
        <v>91</v>
      </c>
      <c r="D13" s="34" t="s">
        <v>92</v>
      </c>
      <c r="E13" s="145" t="s">
        <v>93</v>
      </c>
      <c r="F13" s="35">
        <v>41693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18" customFormat="1" ht="15" customHeight="1">
      <c r="A14" s="656"/>
      <c r="B14" s="145" t="s">
        <v>94</v>
      </c>
      <c r="C14" s="145" t="s">
        <v>95</v>
      </c>
      <c r="D14" s="34" t="s">
        <v>96</v>
      </c>
      <c r="E14" s="145" t="s">
        <v>97</v>
      </c>
      <c r="F14" s="35">
        <v>41695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6" spans="1:77" ht="15.75" customHeight="1">
      <c r="A16" s="627" t="s">
        <v>98</v>
      </c>
      <c r="B16" s="627"/>
      <c r="C16" s="627"/>
      <c r="D16" s="627"/>
      <c r="E16" s="627"/>
      <c r="F16" s="627"/>
    </row>
    <row r="17" spans="1:7">
      <c r="A17" s="625" t="s">
        <v>99</v>
      </c>
      <c r="B17" s="627" t="s">
        <v>100</v>
      </c>
      <c r="C17" s="143" t="s">
        <v>101</v>
      </c>
      <c r="D17" s="143" t="s">
        <v>86</v>
      </c>
      <c r="E17" s="143" t="s">
        <v>90</v>
      </c>
      <c r="F17" s="143" t="s">
        <v>94</v>
      </c>
    </row>
    <row r="18" spans="1:7">
      <c r="A18" s="626"/>
      <c r="B18" s="628"/>
      <c r="C18" s="143" t="s">
        <v>102</v>
      </c>
      <c r="D18" s="143" t="s">
        <v>102</v>
      </c>
      <c r="E18" s="143" t="s">
        <v>102</v>
      </c>
      <c r="F18" s="143" t="s">
        <v>102</v>
      </c>
    </row>
    <row r="19" spans="1:7">
      <c r="A19" s="38">
        <v>1</v>
      </c>
      <c r="B19" s="39" t="s">
        <v>103</v>
      </c>
      <c r="C19" s="40">
        <f>TRUNC(($D19+$E19+$F19)/3,2)</f>
        <v>32.549999999999997</v>
      </c>
      <c r="D19" s="40">
        <v>31.430000000000003</v>
      </c>
      <c r="E19" s="40">
        <v>30.3</v>
      </c>
      <c r="F19" s="40">
        <v>35.93</v>
      </c>
      <c r="G19" s="41"/>
    </row>
    <row r="20" spans="1:7">
      <c r="A20" s="38">
        <v>2</v>
      </c>
      <c r="B20" s="39" t="s">
        <v>104</v>
      </c>
      <c r="C20" s="40">
        <f t="shared" ref="C20:C55" si="0">TRUNC(($D20+$E20+$F20)/3,2)</f>
        <v>17.190000000000001</v>
      </c>
      <c r="D20" s="40">
        <v>16.8</v>
      </c>
      <c r="E20" s="40">
        <v>15.98</v>
      </c>
      <c r="F20" s="40">
        <v>18.8</v>
      </c>
    </row>
    <row r="21" spans="1:7">
      <c r="A21" s="38">
        <v>3</v>
      </c>
      <c r="B21" s="42" t="s">
        <v>105</v>
      </c>
      <c r="C21" s="40">
        <f t="shared" si="0"/>
        <v>18.97</v>
      </c>
      <c r="D21" s="40">
        <v>18.760000000000002</v>
      </c>
      <c r="E21" s="40">
        <v>17.610000000000003</v>
      </c>
      <c r="F21" s="40">
        <v>20.560000000000002</v>
      </c>
    </row>
    <row r="22" spans="1:7">
      <c r="A22" s="38">
        <v>4</v>
      </c>
      <c r="B22" s="42" t="s">
        <v>106</v>
      </c>
      <c r="C22" s="40">
        <f t="shared" si="0"/>
        <v>13.79</v>
      </c>
      <c r="D22" s="40">
        <v>13.79</v>
      </c>
      <c r="E22" s="40">
        <v>12.78</v>
      </c>
      <c r="F22" s="40">
        <v>14.799999999999999</v>
      </c>
    </row>
    <row r="23" spans="1:7">
      <c r="A23" s="38">
        <v>5</v>
      </c>
      <c r="B23" s="42" t="s">
        <v>107</v>
      </c>
      <c r="C23" s="40">
        <f t="shared" si="0"/>
        <v>28.02</v>
      </c>
      <c r="D23" s="40">
        <v>28.35</v>
      </c>
      <c r="E23" s="40">
        <v>25.930000000000003</v>
      </c>
      <c r="F23" s="40">
        <v>29.790000000000003</v>
      </c>
    </row>
    <row r="24" spans="1:7">
      <c r="A24" s="38">
        <v>6</v>
      </c>
      <c r="B24" s="42" t="s">
        <v>108</v>
      </c>
      <c r="C24" s="40">
        <f t="shared" si="0"/>
        <v>13.62</v>
      </c>
      <c r="D24" s="40">
        <v>13.62</v>
      </c>
      <c r="E24" s="40">
        <v>12.73</v>
      </c>
      <c r="F24" s="40">
        <v>14.51</v>
      </c>
    </row>
    <row r="25" spans="1:7">
      <c r="A25" s="38">
        <v>7</v>
      </c>
      <c r="B25" s="42" t="s">
        <v>109</v>
      </c>
      <c r="C25" s="40">
        <f t="shared" si="0"/>
        <v>12.95</v>
      </c>
      <c r="D25" s="40">
        <v>12.879999999999999</v>
      </c>
      <c r="E25" s="40">
        <v>12.2</v>
      </c>
      <c r="F25" s="40">
        <v>13.78</v>
      </c>
    </row>
    <row r="26" spans="1:7">
      <c r="A26" s="38">
        <v>8</v>
      </c>
      <c r="B26" s="42" t="s">
        <v>110</v>
      </c>
      <c r="C26" s="40">
        <f t="shared" si="0"/>
        <v>12.65</v>
      </c>
      <c r="D26" s="40">
        <v>12.5</v>
      </c>
      <c r="E26" s="40">
        <v>12</v>
      </c>
      <c r="F26" s="40">
        <v>13.45</v>
      </c>
    </row>
    <row r="27" spans="1:7">
      <c r="A27" s="38">
        <v>9</v>
      </c>
      <c r="B27" s="42" t="s">
        <v>111</v>
      </c>
      <c r="C27" s="40">
        <f t="shared" si="0"/>
        <v>1.1200000000000001</v>
      </c>
      <c r="D27" s="40">
        <v>1.1100000000000001</v>
      </c>
      <c r="E27" s="40">
        <v>1.08</v>
      </c>
      <c r="F27" s="40">
        <v>1.19</v>
      </c>
    </row>
    <row r="28" spans="1:7">
      <c r="A28" s="38">
        <v>10</v>
      </c>
      <c r="B28" s="42" t="s">
        <v>112</v>
      </c>
      <c r="C28" s="40">
        <f t="shared" si="0"/>
        <v>3.02</v>
      </c>
      <c r="D28" s="40">
        <v>2.9699999999999998</v>
      </c>
      <c r="E28" s="40">
        <v>2.9299999999999997</v>
      </c>
      <c r="F28" s="40">
        <v>3.17</v>
      </c>
    </row>
    <row r="29" spans="1:7">
      <c r="A29" s="38">
        <v>11</v>
      </c>
      <c r="B29" s="42" t="s">
        <v>113</v>
      </c>
      <c r="C29" s="40">
        <f t="shared" si="0"/>
        <v>1.91</v>
      </c>
      <c r="D29" s="40">
        <v>1.87</v>
      </c>
      <c r="E29" s="40">
        <v>1.85</v>
      </c>
      <c r="F29" s="40">
        <v>2.0199999999999996</v>
      </c>
    </row>
    <row r="30" spans="1:7">
      <c r="A30" s="38">
        <v>12</v>
      </c>
      <c r="B30" s="42" t="s">
        <v>114</v>
      </c>
      <c r="C30" s="40">
        <f t="shared" si="0"/>
        <v>1.0900000000000001</v>
      </c>
      <c r="D30" s="40">
        <v>1.08</v>
      </c>
      <c r="E30" s="40">
        <v>1.06</v>
      </c>
      <c r="F30" s="40">
        <v>1.1300000000000001</v>
      </c>
    </row>
    <row r="31" spans="1:7">
      <c r="A31" s="38">
        <v>13</v>
      </c>
      <c r="B31" s="42" t="s">
        <v>115</v>
      </c>
      <c r="C31" s="40">
        <f t="shared" si="0"/>
        <v>7.41</v>
      </c>
      <c r="D31" s="40">
        <v>7.4799999999999995</v>
      </c>
      <c r="E31" s="40">
        <v>7.21</v>
      </c>
      <c r="F31" s="40">
        <v>7.54</v>
      </c>
    </row>
    <row r="32" spans="1:7">
      <c r="A32" s="38">
        <v>14</v>
      </c>
      <c r="B32" s="42" t="s">
        <v>116</v>
      </c>
      <c r="C32" s="40">
        <f t="shared" si="0"/>
        <v>1.1399999999999999</v>
      </c>
      <c r="D32" s="40">
        <v>1.1599999999999999</v>
      </c>
      <c r="E32" s="40">
        <v>1.1000000000000001</v>
      </c>
      <c r="F32" s="40">
        <v>1.17</v>
      </c>
    </row>
    <row r="33" spans="1:6">
      <c r="A33" s="38">
        <v>15</v>
      </c>
      <c r="B33" s="42" t="s">
        <v>117</v>
      </c>
      <c r="C33" s="40">
        <f t="shared" si="0"/>
        <v>0.17</v>
      </c>
      <c r="D33" s="40">
        <v>0.17</v>
      </c>
      <c r="E33" s="40">
        <v>0.16</v>
      </c>
      <c r="F33" s="40">
        <v>0.18</v>
      </c>
    </row>
    <row r="34" spans="1:6">
      <c r="A34" s="38">
        <v>16</v>
      </c>
      <c r="B34" s="42" t="s">
        <v>118</v>
      </c>
      <c r="C34" s="40">
        <f t="shared" si="0"/>
        <v>0.06</v>
      </c>
      <c r="D34" s="40">
        <v>0.06</v>
      </c>
      <c r="E34" s="40">
        <v>0.05</v>
      </c>
      <c r="F34" s="40">
        <v>7.0000000000000007E-2</v>
      </c>
    </row>
    <row r="35" spans="1:6">
      <c r="A35" s="38">
        <v>17</v>
      </c>
      <c r="B35" s="43" t="s">
        <v>119</v>
      </c>
      <c r="C35" s="40">
        <f t="shared" si="0"/>
        <v>0.08</v>
      </c>
      <c r="D35" s="40">
        <v>0.08</v>
      </c>
      <c r="E35" s="40">
        <v>6.9999999999999993E-2</v>
      </c>
      <c r="F35" s="40">
        <v>0.09</v>
      </c>
    </row>
    <row r="36" spans="1:6" ht="31.2">
      <c r="A36" s="38">
        <v>18</v>
      </c>
      <c r="B36" s="43" t="s">
        <v>120</v>
      </c>
      <c r="C36" s="40">
        <f t="shared" si="0"/>
        <v>7.03</v>
      </c>
      <c r="D36" s="40">
        <v>7.21</v>
      </c>
      <c r="E36" s="40">
        <v>6.71</v>
      </c>
      <c r="F36" s="40">
        <v>7.18</v>
      </c>
    </row>
    <row r="37" spans="1:6">
      <c r="A37" s="38">
        <v>19</v>
      </c>
      <c r="B37" s="39" t="s">
        <v>121</v>
      </c>
      <c r="C37" s="40">
        <f t="shared" si="0"/>
        <v>1.35</v>
      </c>
      <c r="D37" s="40">
        <v>1.37</v>
      </c>
      <c r="E37" s="40">
        <v>1.29</v>
      </c>
      <c r="F37" s="40">
        <v>1.4</v>
      </c>
    </row>
    <row r="38" spans="1:6">
      <c r="A38" s="38">
        <v>20</v>
      </c>
      <c r="B38" s="43" t="s">
        <v>122</v>
      </c>
      <c r="C38" s="40">
        <f t="shared" si="0"/>
        <v>5.92</v>
      </c>
      <c r="D38" s="40">
        <v>5.8999999999999995</v>
      </c>
      <c r="E38" s="40">
        <v>5.66</v>
      </c>
      <c r="F38" s="40">
        <v>6.21</v>
      </c>
    </row>
    <row r="39" spans="1:6">
      <c r="A39" s="38">
        <v>21</v>
      </c>
      <c r="B39" s="43" t="s">
        <v>123</v>
      </c>
      <c r="C39" s="40">
        <f t="shared" si="0"/>
        <v>0.7</v>
      </c>
      <c r="D39" s="40">
        <v>0.7</v>
      </c>
      <c r="E39" s="40">
        <v>0.67</v>
      </c>
      <c r="F39" s="40">
        <v>0.74</v>
      </c>
    </row>
    <row r="40" spans="1:6">
      <c r="A40" s="38">
        <v>22</v>
      </c>
      <c r="B40" s="43" t="s">
        <v>124</v>
      </c>
      <c r="C40" s="40">
        <f t="shared" si="0"/>
        <v>0.5</v>
      </c>
      <c r="D40" s="40">
        <v>0.5</v>
      </c>
      <c r="E40" s="40">
        <v>0.48</v>
      </c>
      <c r="F40" s="40">
        <v>0.53</v>
      </c>
    </row>
    <row r="41" spans="1:6" ht="31.2">
      <c r="A41" s="38">
        <v>23</v>
      </c>
      <c r="B41" s="43" t="s">
        <v>125</v>
      </c>
      <c r="C41" s="40">
        <f t="shared" si="0"/>
        <v>61.06</v>
      </c>
      <c r="D41" s="40">
        <v>59.98</v>
      </c>
      <c r="E41" s="40">
        <v>58.35</v>
      </c>
      <c r="F41" s="40">
        <v>64.86</v>
      </c>
    </row>
    <row r="42" spans="1:6" ht="31.2">
      <c r="A42" s="38">
        <v>24</v>
      </c>
      <c r="B42" s="43" t="s">
        <v>126</v>
      </c>
      <c r="C42" s="40">
        <f t="shared" si="0"/>
        <v>33.200000000000003</v>
      </c>
      <c r="D42" s="40">
        <v>32.71</v>
      </c>
      <c r="E42" s="40">
        <v>31.540000000000003</v>
      </c>
      <c r="F42" s="40">
        <v>35.35</v>
      </c>
    </row>
    <row r="43" spans="1:6" ht="31.2">
      <c r="A43" s="38">
        <v>25</v>
      </c>
      <c r="B43" s="43" t="s">
        <v>127</v>
      </c>
      <c r="C43" s="40">
        <f t="shared" si="0"/>
        <v>22.64</v>
      </c>
      <c r="D43" s="40">
        <v>21.94</v>
      </c>
      <c r="E43" s="40">
        <v>21.630000000000003</v>
      </c>
      <c r="F43" s="40">
        <v>24.35</v>
      </c>
    </row>
    <row r="44" spans="1:6">
      <c r="A44" s="38">
        <v>26</v>
      </c>
      <c r="B44" s="43" t="s">
        <v>128</v>
      </c>
      <c r="C44" s="40">
        <f t="shared" si="0"/>
        <v>5.15</v>
      </c>
      <c r="D44" s="40">
        <v>5.07</v>
      </c>
      <c r="E44" s="40">
        <v>4.8600000000000003</v>
      </c>
      <c r="F44" s="40">
        <v>5.54</v>
      </c>
    </row>
    <row r="45" spans="1:6">
      <c r="A45" s="38">
        <v>27</v>
      </c>
      <c r="B45" s="43" t="s">
        <v>129</v>
      </c>
      <c r="C45" s="40">
        <f t="shared" si="0"/>
        <v>7.25</v>
      </c>
      <c r="D45" s="40">
        <v>7.0699999999999994</v>
      </c>
      <c r="E45" s="40">
        <v>6.8199999999999994</v>
      </c>
      <c r="F45" s="40">
        <v>7.87</v>
      </c>
    </row>
    <row r="46" spans="1:6" ht="31.2">
      <c r="A46" s="38">
        <v>28</v>
      </c>
      <c r="B46" s="43" t="s">
        <v>130</v>
      </c>
      <c r="C46" s="40">
        <f t="shared" si="0"/>
        <v>70.88</v>
      </c>
      <c r="D46" s="40">
        <v>69.240000000000009</v>
      </c>
      <c r="E46" s="40">
        <v>66.160000000000011</v>
      </c>
      <c r="F46" s="40">
        <v>77.240000000000009</v>
      </c>
    </row>
    <row r="47" spans="1:6" ht="31.2">
      <c r="A47" s="38">
        <v>29</v>
      </c>
      <c r="B47" s="43" t="s">
        <v>131</v>
      </c>
      <c r="C47" s="40">
        <f t="shared" si="0"/>
        <v>100.76</v>
      </c>
      <c r="D47" s="40">
        <v>100.92</v>
      </c>
      <c r="E47" s="40">
        <v>98.63000000000001</v>
      </c>
      <c r="F47" s="40">
        <v>102.75</v>
      </c>
    </row>
    <row r="48" spans="1:6" ht="31.2">
      <c r="A48" s="38">
        <v>30</v>
      </c>
      <c r="B48" s="43" t="s">
        <v>132</v>
      </c>
      <c r="C48" s="40">
        <f t="shared" si="0"/>
        <v>55.15</v>
      </c>
      <c r="D48" s="40">
        <v>55.489999999999995</v>
      </c>
      <c r="E48" s="40">
        <v>53.5</v>
      </c>
      <c r="F48" s="40">
        <v>56.48</v>
      </c>
    </row>
    <row r="49" spans="1:6">
      <c r="A49" s="38">
        <v>31</v>
      </c>
      <c r="B49" s="43" t="s">
        <v>133</v>
      </c>
      <c r="C49" s="40">
        <f t="shared" si="0"/>
        <v>3.13</v>
      </c>
      <c r="D49" s="40">
        <v>3.13</v>
      </c>
      <c r="E49" s="40">
        <v>2.9899999999999998</v>
      </c>
      <c r="F49" s="40">
        <v>3.2899999999999996</v>
      </c>
    </row>
    <row r="50" spans="1:6">
      <c r="A50" s="38">
        <v>32</v>
      </c>
      <c r="B50" s="42" t="s">
        <v>134</v>
      </c>
      <c r="C50" s="40">
        <f t="shared" si="0"/>
        <v>80.2</v>
      </c>
      <c r="D50" s="40">
        <v>80.2</v>
      </c>
      <c r="E50" s="40">
        <v>75.960000000000008</v>
      </c>
      <c r="F50" s="40">
        <v>84.440000000000012</v>
      </c>
    </row>
    <row r="51" spans="1:6">
      <c r="A51" s="38">
        <v>33</v>
      </c>
      <c r="B51" s="42" t="s">
        <v>135</v>
      </c>
      <c r="C51" s="40">
        <f t="shared" si="0"/>
        <v>51.43</v>
      </c>
      <c r="D51" s="40">
        <v>51.51</v>
      </c>
      <c r="E51" s="40">
        <v>48.36</v>
      </c>
      <c r="F51" s="40">
        <v>54.43</v>
      </c>
    </row>
    <row r="52" spans="1:6">
      <c r="A52" s="38">
        <v>34</v>
      </c>
      <c r="B52" s="42" t="s">
        <v>136</v>
      </c>
      <c r="C52" s="40">
        <f t="shared" si="0"/>
        <v>30.18</v>
      </c>
      <c r="D52" s="40">
        <v>30.27</v>
      </c>
      <c r="E52" s="40">
        <v>28.3</v>
      </c>
      <c r="F52" s="40">
        <v>31.98</v>
      </c>
    </row>
    <row r="53" spans="1:6">
      <c r="A53" s="38">
        <v>35</v>
      </c>
      <c r="B53" s="42" t="s">
        <v>137</v>
      </c>
      <c r="C53" s="40">
        <f t="shared" si="0"/>
        <v>0.45</v>
      </c>
      <c r="D53" s="40">
        <v>0.44</v>
      </c>
      <c r="E53" s="40">
        <v>0.43</v>
      </c>
      <c r="F53" s="40">
        <v>0.49</v>
      </c>
    </row>
    <row r="54" spans="1:6">
      <c r="A54" s="38">
        <v>36</v>
      </c>
      <c r="B54" s="42" t="s">
        <v>138</v>
      </c>
      <c r="C54" s="40">
        <f t="shared" si="0"/>
        <v>17.940000000000001</v>
      </c>
      <c r="D54" s="40">
        <v>17.630000000000003</v>
      </c>
      <c r="E54" s="40">
        <v>16.77</v>
      </c>
      <c r="F54" s="40">
        <v>19.430000000000003</v>
      </c>
    </row>
    <row r="55" spans="1:6">
      <c r="A55" s="38">
        <v>37</v>
      </c>
      <c r="B55" s="42" t="s">
        <v>139</v>
      </c>
      <c r="C55" s="40">
        <f t="shared" si="0"/>
        <v>0.06</v>
      </c>
      <c r="D55" s="40">
        <v>0.06</v>
      </c>
      <c r="E55" s="40">
        <v>0.05</v>
      </c>
      <c r="F55" s="40">
        <v>7.0000000000000007E-2</v>
      </c>
    </row>
    <row r="57" spans="1:6" ht="15.75" customHeight="1">
      <c r="A57" s="627" t="s">
        <v>140</v>
      </c>
      <c r="B57" s="627"/>
      <c r="C57" s="627"/>
      <c r="D57" s="627"/>
      <c r="E57" s="627"/>
      <c r="F57" s="627"/>
    </row>
    <row r="58" spans="1:6">
      <c r="A58" s="625" t="s">
        <v>99</v>
      </c>
      <c r="B58" s="627" t="s">
        <v>100</v>
      </c>
      <c r="C58" s="143" t="s">
        <v>141</v>
      </c>
      <c r="D58" s="44" t="s">
        <v>86</v>
      </c>
      <c r="E58" s="44" t="s">
        <v>90</v>
      </c>
      <c r="F58" s="44" t="s">
        <v>94</v>
      </c>
    </row>
    <row r="59" spans="1:6">
      <c r="A59" s="625"/>
      <c r="B59" s="627"/>
      <c r="C59" s="144" t="s">
        <v>102</v>
      </c>
      <c r="D59" s="144" t="s">
        <v>102</v>
      </c>
      <c r="E59" s="144" t="s">
        <v>102</v>
      </c>
      <c r="F59" s="144" t="s">
        <v>102</v>
      </c>
    </row>
    <row r="60" spans="1:6">
      <c r="A60" s="45">
        <v>1</v>
      </c>
      <c r="B60" s="42" t="s">
        <v>142</v>
      </c>
      <c r="C60" s="40">
        <f t="shared" ref="C60:C76" si="1">TRUNC(($D60+$E60+$F60)/3,2)</f>
        <v>38.909999999999997</v>
      </c>
      <c r="D60" s="40">
        <v>38.97</v>
      </c>
      <c r="E60" s="40">
        <v>37.07</v>
      </c>
      <c r="F60" s="40">
        <v>40.69</v>
      </c>
    </row>
    <row r="61" spans="1:6">
      <c r="A61" s="45">
        <v>2</v>
      </c>
      <c r="B61" s="43" t="s">
        <v>143</v>
      </c>
      <c r="C61" s="40">
        <f t="shared" si="1"/>
        <v>601.39</v>
      </c>
      <c r="D61" s="40">
        <v>608.51</v>
      </c>
      <c r="E61" s="40">
        <v>573.81999999999994</v>
      </c>
      <c r="F61" s="40">
        <v>621.86</v>
      </c>
    </row>
    <row r="62" spans="1:6" ht="31.2">
      <c r="A62" s="45">
        <v>3</v>
      </c>
      <c r="B62" s="43" t="s">
        <v>144</v>
      </c>
      <c r="C62" s="40">
        <f t="shared" si="1"/>
        <v>356.39</v>
      </c>
      <c r="D62" s="40">
        <v>361.1</v>
      </c>
      <c r="E62" s="40">
        <v>337.55</v>
      </c>
      <c r="F62" s="40">
        <v>370.52</v>
      </c>
    </row>
    <row r="63" spans="1:6">
      <c r="A63" s="45">
        <v>4</v>
      </c>
      <c r="B63" s="43" t="s">
        <v>145</v>
      </c>
      <c r="C63" s="40">
        <f t="shared" si="1"/>
        <v>30.82</v>
      </c>
      <c r="D63" s="40">
        <v>31.51</v>
      </c>
      <c r="E63" s="40">
        <v>29.46</v>
      </c>
      <c r="F63" s="40">
        <v>31.51</v>
      </c>
    </row>
    <row r="64" spans="1:6">
      <c r="A64" s="45">
        <v>5</v>
      </c>
      <c r="B64" s="43" t="s">
        <v>146</v>
      </c>
      <c r="C64" s="40">
        <f t="shared" si="1"/>
        <v>10.94</v>
      </c>
      <c r="D64" s="46">
        <v>11.299999999999999</v>
      </c>
      <c r="E64" s="40">
        <v>10.48</v>
      </c>
      <c r="F64" s="40">
        <v>11.06</v>
      </c>
    </row>
    <row r="65" spans="1:6">
      <c r="A65" s="45">
        <v>6</v>
      </c>
      <c r="B65" s="43" t="s">
        <v>147</v>
      </c>
      <c r="C65" s="40">
        <f t="shared" si="1"/>
        <v>814.15</v>
      </c>
      <c r="D65" s="46">
        <v>849.24</v>
      </c>
      <c r="E65" s="40">
        <v>780.28</v>
      </c>
      <c r="F65" s="40">
        <v>812.95</v>
      </c>
    </row>
    <row r="66" spans="1:6">
      <c r="A66" s="45">
        <v>7</v>
      </c>
      <c r="B66" s="43" t="s">
        <v>148</v>
      </c>
      <c r="C66" s="40">
        <f t="shared" si="1"/>
        <v>35.729999999999997</v>
      </c>
      <c r="D66" s="46">
        <v>37.65</v>
      </c>
      <c r="E66" s="40">
        <v>34.299999999999997</v>
      </c>
      <c r="F66" s="40">
        <v>35.25</v>
      </c>
    </row>
    <row r="67" spans="1:6">
      <c r="A67" s="45">
        <v>8</v>
      </c>
      <c r="B67" s="43" t="s">
        <v>149</v>
      </c>
      <c r="C67" s="40">
        <f t="shared" si="1"/>
        <v>41.92</v>
      </c>
      <c r="D67" s="46">
        <v>43.79</v>
      </c>
      <c r="E67" s="40">
        <v>40.059999999999995</v>
      </c>
      <c r="F67" s="40">
        <v>41.919999999999995</v>
      </c>
    </row>
    <row r="68" spans="1:6">
      <c r="A68" s="45">
        <v>9</v>
      </c>
      <c r="B68" s="47" t="s">
        <v>150</v>
      </c>
      <c r="C68" s="40">
        <f t="shared" si="1"/>
        <v>4.5</v>
      </c>
      <c r="D68" s="40">
        <v>4.66</v>
      </c>
      <c r="E68" s="40">
        <v>4.2799999999999994</v>
      </c>
      <c r="F68" s="40">
        <v>4.5599999999999996</v>
      </c>
    </row>
    <row r="69" spans="1:6">
      <c r="A69" s="45">
        <v>10</v>
      </c>
      <c r="B69" s="43" t="s">
        <v>151</v>
      </c>
      <c r="C69" s="40">
        <f t="shared" si="1"/>
        <v>0.2</v>
      </c>
      <c r="D69" s="40">
        <v>0.21000000000000002</v>
      </c>
      <c r="E69" s="40">
        <v>0.2</v>
      </c>
      <c r="F69" s="40">
        <v>0.21000000000000002</v>
      </c>
    </row>
    <row r="70" spans="1:6">
      <c r="A70" s="45">
        <v>11</v>
      </c>
      <c r="B70" s="43" t="s">
        <v>152</v>
      </c>
      <c r="C70" s="40">
        <f t="shared" si="1"/>
        <v>1.1599999999999999</v>
      </c>
      <c r="D70" s="40">
        <v>1.1901666666666666</v>
      </c>
      <c r="E70" s="40">
        <v>1.1030000000000002</v>
      </c>
      <c r="F70" s="40">
        <v>1.2158333333333333</v>
      </c>
    </row>
    <row r="71" spans="1:6">
      <c r="A71" s="45">
        <v>12</v>
      </c>
      <c r="B71" s="43" t="s">
        <v>153</v>
      </c>
      <c r="C71" s="40">
        <f t="shared" si="1"/>
        <v>107.13</v>
      </c>
      <c r="D71" s="40">
        <v>108.07000000000001</v>
      </c>
      <c r="E71" s="40">
        <v>100.58</v>
      </c>
      <c r="F71" s="40">
        <v>112.74000000000001</v>
      </c>
    </row>
    <row r="72" spans="1:6">
      <c r="A72" s="45">
        <v>13</v>
      </c>
      <c r="B72" s="48" t="s">
        <v>154</v>
      </c>
      <c r="C72" s="40">
        <f t="shared" si="1"/>
        <v>0.65</v>
      </c>
      <c r="D72" s="40">
        <v>0.65</v>
      </c>
      <c r="E72" s="40">
        <v>0.61</v>
      </c>
      <c r="F72" s="40">
        <v>0.69</v>
      </c>
    </row>
    <row r="73" spans="1:6">
      <c r="A73" s="45">
        <v>14</v>
      </c>
      <c r="B73" s="43" t="s">
        <v>155</v>
      </c>
      <c r="C73" s="40">
        <f t="shared" si="1"/>
        <v>113.04</v>
      </c>
      <c r="D73" s="40">
        <v>110.75</v>
      </c>
      <c r="E73" s="40">
        <v>105.83</v>
      </c>
      <c r="F73" s="40">
        <v>122.56</v>
      </c>
    </row>
    <row r="74" spans="1:6">
      <c r="A74" s="45">
        <v>15</v>
      </c>
      <c r="B74" s="43" t="s">
        <v>156</v>
      </c>
      <c r="C74" s="40">
        <f t="shared" si="1"/>
        <v>2998.73</v>
      </c>
      <c r="D74" s="40">
        <v>2910.5400000000004</v>
      </c>
      <c r="E74" s="40">
        <v>2844.3900000000003</v>
      </c>
      <c r="F74" s="40">
        <v>3241.28</v>
      </c>
    </row>
    <row r="75" spans="1:6" ht="31.2">
      <c r="A75" s="45">
        <v>16</v>
      </c>
      <c r="B75" s="43" t="s">
        <v>157</v>
      </c>
      <c r="C75" s="40">
        <f t="shared" si="1"/>
        <v>11.35</v>
      </c>
      <c r="D75" s="40">
        <v>11.3</v>
      </c>
      <c r="E75" s="40">
        <v>10.75</v>
      </c>
      <c r="F75" s="40">
        <v>12</v>
      </c>
    </row>
    <row r="76" spans="1:6">
      <c r="A76" s="45">
        <v>17</v>
      </c>
      <c r="B76" s="43" t="s">
        <v>158</v>
      </c>
      <c r="C76" s="40">
        <f t="shared" si="1"/>
        <v>0.69</v>
      </c>
      <c r="D76" s="40">
        <v>0.68</v>
      </c>
      <c r="E76" s="40">
        <v>0.67</v>
      </c>
      <c r="F76" s="40">
        <v>0.73</v>
      </c>
    </row>
    <row r="78" spans="1:6" ht="15.75" customHeight="1">
      <c r="A78" s="627" t="s">
        <v>159</v>
      </c>
      <c r="B78" s="627"/>
      <c r="C78" s="627"/>
      <c r="D78" s="627"/>
      <c r="E78" s="627"/>
      <c r="F78" s="627"/>
    </row>
    <row r="79" spans="1:6">
      <c r="A79" s="625" t="s">
        <v>99</v>
      </c>
      <c r="B79" s="627" t="s">
        <v>100</v>
      </c>
      <c r="C79" s="143" t="s">
        <v>141</v>
      </c>
      <c r="D79" s="44" t="s">
        <v>86</v>
      </c>
      <c r="E79" s="44" t="s">
        <v>90</v>
      </c>
      <c r="F79" s="44" t="s">
        <v>94</v>
      </c>
    </row>
    <row r="80" spans="1:6">
      <c r="A80" s="625"/>
      <c r="B80" s="627"/>
      <c r="C80" s="144" t="s">
        <v>102</v>
      </c>
      <c r="D80" s="144" t="s">
        <v>102</v>
      </c>
      <c r="E80" s="144" t="s">
        <v>102</v>
      </c>
      <c r="F80" s="144" t="s">
        <v>102</v>
      </c>
    </row>
    <row r="81" spans="1:77" s="53" customFormat="1">
      <c r="A81" s="49">
        <v>1</v>
      </c>
      <c r="B81" s="50" t="s">
        <v>160</v>
      </c>
      <c r="C81" s="40">
        <f t="shared" ref="C81:C92" si="2">TRUNC(($D81+$E81+$F81)/3,2)</f>
        <v>233.61</v>
      </c>
      <c r="D81" s="51">
        <v>227.44</v>
      </c>
      <c r="E81" s="51">
        <v>221.26</v>
      </c>
      <c r="F81" s="51">
        <v>252.13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</row>
    <row r="82" spans="1:77" s="53" customFormat="1">
      <c r="A82" s="49">
        <v>2</v>
      </c>
      <c r="B82" s="43" t="s">
        <v>161</v>
      </c>
      <c r="C82" s="40">
        <f t="shared" si="2"/>
        <v>7.28</v>
      </c>
      <c r="D82" s="51">
        <v>7.27</v>
      </c>
      <c r="E82" s="51">
        <v>6.8</v>
      </c>
      <c r="F82" s="51">
        <v>7.7799999999999994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</row>
    <row r="83" spans="1:77" s="53" customFormat="1">
      <c r="A83" s="49">
        <v>3</v>
      </c>
      <c r="B83" s="50" t="s">
        <v>162</v>
      </c>
      <c r="C83" s="40">
        <f t="shared" si="2"/>
        <v>56.73</v>
      </c>
      <c r="D83" s="51">
        <v>55.33</v>
      </c>
      <c r="E83" s="51">
        <v>53.35</v>
      </c>
      <c r="F83" s="51">
        <v>61.53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</row>
    <row r="84" spans="1:77" s="53" customFormat="1">
      <c r="A84" s="49">
        <v>4</v>
      </c>
      <c r="B84" s="50" t="s">
        <v>163</v>
      </c>
      <c r="C84" s="40">
        <f t="shared" si="2"/>
        <v>7.86</v>
      </c>
      <c r="D84" s="51">
        <v>7.68</v>
      </c>
      <c r="E84" s="51">
        <v>7.34</v>
      </c>
      <c r="F84" s="51">
        <v>8.56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</row>
    <row r="85" spans="1:77" s="53" customFormat="1">
      <c r="A85" s="49">
        <v>5</v>
      </c>
      <c r="B85" s="50" t="s">
        <v>164</v>
      </c>
      <c r="C85" s="40">
        <f t="shared" si="2"/>
        <v>13.53</v>
      </c>
      <c r="D85" s="51">
        <v>13.24</v>
      </c>
      <c r="E85" s="51">
        <v>12.54</v>
      </c>
      <c r="F85" s="51">
        <v>14.81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</row>
    <row r="86" spans="1:77" s="53" customFormat="1" ht="31.2">
      <c r="A86" s="49">
        <v>6</v>
      </c>
      <c r="B86" s="50" t="s">
        <v>165</v>
      </c>
      <c r="C86" s="40">
        <f t="shared" si="2"/>
        <v>190.35</v>
      </c>
      <c r="D86" s="51">
        <v>187.89</v>
      </c>
      <c r="E86" s="51">
        <v>176.39999999999998</v>
      </c>
      <c r="F86" s="51">
        <v>206.76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</row>
    <row r="87" spans="1:77" s="53" customFormat="1">
      <c r="A87" s="49">
        <v>7</v>
      </c>
      <c r="B87" s="50" t="s">
        <v>166</v>
      </c>
      <c r="C87" s="40">
        <f t="shared" si="2"/>
        <v>26.12</v>
      </c>
      <c r="D87" s="51">
        <v>25.75</v>
      </c>
      <c r="E87" s="51">
        <v>24.28</v>
      </c>
      <c r="F87" s="51">
        <v>28.34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</row>
    <row r="88" spans="1:77" s="53" customFormat="1">
      <c r="A88" s="49">
        <v>8</v>
      </c>
      <c r="B88" s="50" t="s">
        <v>167</v>
      </c>
      <c r="C88" s="40">
        <f t="shared" si="2"/>
        <v>7.05</v>
      </c>
      <c r="D88" s="51">
        <v>7.0299999999999994</v>
      </c>
      <c r="E88" s="51">
        <v>6.54</v>
      </c>
      <c r="F88" s="51">
        <v>7.6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</row>
    <row r="89" spans="1:77" s="53" customFormat="1">
      <c r="A89" s="49">
        <v>9</v>
      </c>
      <c r="B89" s="50" t="s">
        <v>168</v>
      </c>
      <c r="C89" s="40">
        <f t="shared" si="2"/>
        <v>13.9</v>
      </c>
      <c r="D89" s="51">
        <v>13.959999999999999</v>
      </c>
      <c r="E89" s="51">
        <v>12.879999999999999</v>
      </c>
      <c r="F89" s="51">
        <v>14.86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</row>
    <row r="90" spans="1:77" s="53" customFormat="1">
      <c r="A90" s="49">
        <v>10</v>
      </c>
      <c r="B90" s="50" t="s">
        <v>169</v>
      </c>
      <c r="C90" s="40">
        <f t="shared" si="2"/>
        <v>0.45</v>
      </c>
      <c r="D90" s="51">
        <v>0.46</v>
      </c>
      <c r="E90" s="51">
        <v>0.42</v>
      </c>
      <c r="F90" s="51">
        <v>0.49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</row>
    <row r="91" spans="1:77" s="53" customFormat="1">
      <c r="A91" s="49">
        <v>11</v>
      </c>
      <c r="B91" s="50" t="s">
        <v>170</v>
      </c>
      <c r="C91" s="40">
        <f t="shared" si="2"/>
        <v>5.41</v>
      </c>
      <c r="D91" s="51">
        <v>5.31</v>
      </c>
      <c r="E91" s="51">
        <v>5.12</v>
      </c>
      <c r="F91" s="51">
        <v>5.81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</row>
    <row r="92" spans="1:77" s="53" customFormat="1">
      <c r="A92" s="49">
        <v>12</v>
      </c>
      <c r="B92" s="50" t="s">
        <v>171</v>
      </c>
      <c r="C92" s="40">
        <f t="shared" si="2"/>
        <v>0.62</v>
      </c>
      <c r="D92" s="51">
        <v>0.61</v>
      </c>
      <c r="E92" s="51">
        <v>0.59</v>
      </c>
      <c r="F92" s="51">
        <v>0.66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</row>
  </sheetData>
  <mergeCells count="19">
    <mergeCell ref="A57:F57"/>
    <mergeCell ref="A58:A59"/>
    <mergeCell ref="B58:B59"/>
    <mergeCell ref="A78:F78"/>
    <mergeCell ref="A79:A80"/>
    <mergeCell ref="B79:B80"/>
    <mergeCell ref="A17:A18"/>
    <mergeCell ref="B17:B18"/>
    <mergeCell ref="A2:B4"/>
    <mergeCell ref="C2:D2"/>
    <mergeCell ref="E2:F4"/>
    <mergeCell ref="C3:D3"/>
    <mergeCell ref="C4:D4"/>
    <mergeCell ref="A5:F5"/>
    <mergeCell ref="B6:D6"/>
    <mergeCell ref="B7:D7"/>
    <mergeCell ref="A9:F9"/>
    <mergeCell ref="A12:A14"/>
    <mergeCell ref="A16:F16"/>
  </mergeCells>
  <conditionalFormatting sqref="A60:B71 A72 A19:F55 A81:F81 B83:F92 A73:B76 C60:F76">
    <cfRule type="expression" dxfId="2" priority="3" stopIfTrue="1">
      <formula>MOD(ROW(),2)=1</formula>
    </cfRule>
  </conditionalFormatting>
  <conditionalFormatting sqref="B72">
    <cfRule type="expression" dxfId="1" priority="2" stopIfTrue="1">
      <formula>MOD(ROW(),2)=1</formula>
    </cfRule>
  </conditionalFormatting>
  <conditionalFormatting sqref="A82:F82 A83:A92">
    <cfRule type="expression" dxfId="0" priority="1" stopIfTrue="1">
      <formula>MOD(ROW(),2)=1</formula>
    </cfRule>
  </conditionalFormatting>
  <printOptions horizontalCentered="1"/>
  <pageMargins left="0.35433070866141736" right="0.35433070866141736" top="0.43307086614173229" bottom="0.49" header="0.31496062992125984" footer="0.19685039370078741"/>
  <pageSetup paperSize="9" scale="73" fitToHeight="3" orientation="portrait" r:id="rId1"/>
  <headerFooter>
    <oddFooter>&amp;LPágina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109375" defaultRowHeight="14.4"/>
  <cols>
    <col min="1" max="1" width="9.109375" style="148"/>
    <col min="2" max="2" width="55.109375" style="147" bestFit="1" customWidth="1"/>
    <col min="3" max="3" width="17.44140625" style="147" bestFit="1" customWidth="1"/>
    <col min="4" max="4" width="9.109375" style="147"/>
    <col min="5" max="5" width="15.109375" style="147" bestFit="1" customWidth="1"/>
    <col min="6" max="6" width="10.33203125" style="147" bestFit="1" customWidth="1"/>
    <col min="7" max="7" width="16.5546875" style="147" bestFit="1" customWidth="1"/>
    <col min="8" max="8" width="10.33203125" style="147" bestFit="1" customWidth="1"/>
    <col min="9" max="9" width="16.5546875" style="147" bestFit="1" customWidth="1"/>
    <col min="10" max="10" width="10.33203125" style="147" bestFit="1" customWidth="1"/>
    <col min="11" max="11" width="16.5546875" style="147" bestFit="1" customWidth="1"/>
    <col min="12" max="12" width="10.33203125" style="147" bestFit="1" customWidth="1"/>
    <col min="13" max="13" width="16.5546875" style="274" bestFit="1" customWidth="1"/>
    <col min="14" max="14" width="10.33203125" style="274" bestFit="1" customWidth="1"/>
    <col min="15" max="15" width="16.5546875" style="274" bestFit="1" customWidth="1"/>
    <col min="16" max="16" width="10.33203125" style="274" bestFit="1" customWidth="1"/>
    <col min="17" max="17" width="16.5546875" style="274" bestFit="1" customWidth="1"/>
    <col min="18" max="18" width="10.33203125" style="274" bestFit="1" customWidth="1"/>
    <col min="19" max="19" width="16.5546875" style="274" bestFit="1" customWidth="1"/>
    <col min="20" max="20" width="10.33203125" style="274" bestFit="1" customWidth="1"/>
    <col min="21" max="21" width="16.5546875" style="147" bestFit="1" customWidth="1"/>
    <col min="22" max="22" width="11.44140625" style="147" bestFit="1" customWidth="1"/>
    <col min="23" max="16384" width="9.109375" style="147"/>
  </cols>
  <sheetData>
    <row r="1" spans="1:22" ht="30.6" thickBot="1">
      <c r="A1" s="669" t="s">
        <v>407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1"/>
    </row>
    <row r="2" spans="1:22" ht="19.2" thickBot="1">
      <c r="A2" s="672" t="s">
        <v>408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</row>
    <row r="3" spans="1:22" ht="19.2" thickBot="1">
      <c r="A3" s="672" t="s">
        <v>471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</row>
    <row r="4" spans="1:22" ht="19.2" thickBot="1">
      <c r="A4" s="548" t="str">
        <f>RESUMO!B5</f>
        <v>CLIMATIZAÇÃO ESCOLAS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50"/>
    </row>
    <row r="5" spans="1:22" s="227" customFormat="1" ht="15" thickBot="1">
      <c r="A5" s="663" t="s">
        <v>3</v>
      </c>
      <c r="B5" s="663" t="s">
        <v>4</v>
      </c>
      <c r="C5" s="663" t="s">
        <v>5</v>
      </c>
      <c r="D5" s="663" t="s">
        <v>6</v>
      </c>
      <c r="E5" s="663" t="s">
        <v>472</v>
      </c>
      <c r="F5" s="663"/>
      <c r="G5" s="663" t="s">
        <v>473</v>
      </c>
      <c r="H5" s="663"/>
      <c r="I5" s="664" t="s">
        <v>474</v>
      </c>
      <c r="J5" s="664"/>
      <c r="K5" s="664" t="s">
        <v>475</v>
      </c>
      <c r="L5" s="664"/>
      <c r="M5" s="674" t="s">
        <v>2459</v>
      </c>
      <c r="N5" s="664"/>
      <c r="O5" s="674" t="s">
        <v>2460</v>
      </c>
      <c r="P5" s="664"/>
      <c r="Q5" s="674" t="s">
        <v>2463</v>
      </c>
      <c r="R5" s="664"/>
      <c r="S5" s="674" t="s">
        <v>2464</v>
      </c>
      <c r="T5" s="664"/>
      <c r="U5" s="664" t="s">
        <v>476</v>
      </c>
      <c r="V5" s="664"/>
    </row>
    <row r="6" spans="1:22" s="120" customFormat="1" ht="15" thickBot="1">
      <c r="A6" s="673"/>
      <c r="B6" s="673"/>
      <c r="C6" s="673"/>
      <c r="D6" s="673"/>
      <c r="E6" s="495" t="s">
        <v>477</v>
      </c>
      <c r="F6" s="490" t="s">
        <v>6</v>
      </c>
      <c r="G6" s="498" t="s">
        <v>477</v>
      </c>
      <c r="H6" s="490" t="s">
        <v>6</v>
      </c>
      <c r="I6" s="496" t="s">
        <v>477</v>
      </c>
      <c r="J6" s="342" t="s">
        <v>6</v>
      </c>
      <c r="K6" s="342" t="s">
        <v>477</v>
      </c>
      <c r="L6" s="342" t="s">
        <v>6</v>
      </c>
      <c r="M6" s="490" t="s">
        <v>477</v>
      </c>
      <c r="N6" s="490" t="s">
        <v>6</v>
      </c>
      <c r="O6" s="490" t="s">
        <v>477</v>
      </c>
      <c r="P6" s="490" t="s">
        <v>6</v>
      </c>
      <c r="Q6" s="511" t="s">
        <v>477</v>
      </c>
      <c r="R6" s="511" t="s">
        <v>6</v>
      </c>
      <c r="S6" s="511" t="s">
        <v>477</v>
      </c>
      <c r="T6" s="511" t="s">
        <v>6</v>
      </c>
      <c r="U6" s="342" t="s">
        <v>477</v>
      </c>
      <c r="V6" s="342" t="s">
        <v>6</v>
      </c>
    </row>
    <row r="7" spans="1:22" s="7" customFormat="1" ht="15" thickBot="1">
      <c r="A7" s="253" t="str">
        <f>RESUMO!A9</f>
        <v>1.0</v>
      </c>
      <c r="B7" s="254" t="str">
        <f>RESUMO!B9</f>
        <v>E.M.E.B. IRACEMA MIELE</v>
      </c>
      <c r="C7" s="255">
        <f>RESUMO!C9</f>
        <v>274660.20158111973</v>
      </c>
      <c r="D7" s="256">
        <f>RESUMO!D9</f>
        <v>6.1221160861556483E-2</v>
      </c>
      <c r="E7" s="502">
        <f t="shared" ref="E7" si="0">C7*F7</f>
        <v>0</v>
      </c>
      <c r="F7" s="497">
        <v>0</v>
      </c>
      <c r="G7" s="504">
        <f t="shared" ref="G7" si="1">C7*H7</f>
        <v>274660.20158111973</v>
      </c>
      <c r="H7" s="497">
        <v>1</v>
      </c>
      <c r="I7" s="494">
        <f t="shared" ref="I7" si="2">ROUND(C7*J7,3)</f>
        <v>0</v>
      </c>
      <c r="J7" s="256">
        <v>0</v>
      </c>
      <c r="K7" s="257">
        <f>ROUND(C7*L7,3)</f>
        <v>0</v>
      </c>
      <c r="L7" s="256">
        <v>0</v>
      </c>
      <c r="M7" s="251">
        <f>ROUND(C7*N7,3)</f>
        <v>0</v>
      </c>
      <c r="N7" s="256">
        <v>0</v>
      </c>
      <c r="O7" s="251">
        <f>ROUND(C7*P7,3)</f>
        <v>0</v>
      </c>
      <c r="P7" s="256">
        <v>0</v>
      </c>
      <c r="Q7" s="251">
        <f>ROUND(E7*R7,3)</f>
        <v>0</v>
      </c>
      <c r="R7" s="256">
        <v>0</v>
      </c>
      <c r="S7" s="251">
        <f>ROUND(G7*T7,3)</f>
        <v>0</v>
      </c>
      <c r="T7" s="256">
        <v>0</v>
      </c>
      <c r="U7" s="258">
        <f>I7+K7+E7+G7+M7+O7+Q7+S7</f>
        <v>274660.20158111973</v>
      </c>
      <c r="V7" s="256">
        <f t="shared" ref="V7" si="3">ROUND(U7/C7,2)</f>
        <v>1</v>
      </c>
    </row>
    <row r="8" spans="1:22" s="7" customFormat="1" ht="15" thickBot="1">
      <c r="A8" s="240" t="str">
        <f>RESUMO!A10</f>
        <v>2.0</v>
      </c>
      <c r="B8" s="241" t="str">
        <f>RESUMO!B10</f>
        <v>E.M.E.B.PROF. MARIA APARECIDA</v>
      </c>
      <c r="C8" s="250">
        <f>RESUMO!C10</f>
        <v>274216.63096741971</v>
      </c>
      <c r="D8" s="242">
        <f>RESUMO!D10</f>
        <v>6.1122289937634987E-2</v>
      </c>
      <c r="E8" s="503">
        <f t="shared" ref="E8:E30" si="4">C8*F8</f>
        <v>274216.63096741971</v>
      </c>
      <c r="F8" s="497">
        <v>1</v>
      </c>
      <c r="G8" s="505">
        <f t="shared" ref="G8:G13" si="5">C8*H8</f>
        <v>0</v>
      </c>
      <c r="H8" s="497">
        <v>0</v>
      </c>
      <c r="I8" s="492">
        <f t="shared" ref="I8:I13" si="6">ROUND(C8*J8,3)</f>
        <v>0</v>
      </c>
      <c r="J8" s="242">
        <v>0</v>
      </c>
      <c r="K8" s="251">
        <f t="shared" ref="K8:K13" si="7">ROUND(C8*L8,3)</f>
        <v>0</v>
      </c>
      <c r="L8" s="242">
        <v>0</v>
      </c>
      <c r="M8" s="251">
        <f t="shared" ref="M8:M30" si="8">ROUND(C8*N8,3)</f>
        <v>0</v>
      </c>
      <c r="N8" s="242">
        <v>0</v>
      </c>
      <c r="O8" s="251">
        <f t="shared" ref="O8:O30" si="9">ROUND(C8*P8,3)</f>
        <v>0</v>
      </c>
      <c r="P8" s="242">
        <v>0</v>
      </c>
      <c r="Q8" s="251">
        <f t="shared" ref="Q8:Q9" si="10">ROUND(E8*R8,3)</f>
        <v>0</v>
      </c>
      <c r="R8" s="242">
        <v>0</v>
      </c>
      <c r="S8" s="251">
        <f t="shared" ref="S8:S9" si="11">ROUND(G8*T8,3)</f>
        <v>0</v>
      </c>
      <c r="T8" s="242">
        <v>0</v>
      </c>
      <c r="U8" s="258">
        <f t="shared" ref="U8:U30" si="12">I8+K8+E8+G8+M8+O8+Q8+S8</f>
        <v>274216.63096741971</v>
      </c>
      <c r="V8" s="242">
        <f>ROUND(U8/C8,2)</f>
        <v>1</v>
      </c>
    </row>
    <row r="9" spans="1:22" s="7" customFormat="1" ht="15" thickBot="1">
      <c r="A9" s="240" t="str">
        <f>RESUMO!A11</f>
        <v>3.0</v>
      </c>
      <c r="B9" s="241" t="str">
        <f>RESUMO!B11</f>
        <v>E.M.E.B. PROFESSORA SYLVIA FERREIRA JORGE SCHAFFER</v>
      </c>
      <c r="C9" s="250">
        <f>RESUMO!C11</f>
        <v>451359.56149061932</v>
      </c>
      <c r="D9" s="242">
        <f>RESUMO!D11</f>
        <v>0.10060706342363031</v>
      </c>
      <c r="E9" s="503">
        <f t="shared" si="4"/>
        <v>451359.56149061932</v>
      </c>
      <c r="F9" s="497">
        <v>1</v>
      </c>
      <c r="G9" s="505">
        <f t="shared" si="5"/>
        <v>0</v>
      </c>
      <c r="H9" s="497">
        <v>0</v>
      </c>
      <c r="I9" s="492">
        <f t="shared" si="6"/>
        <v>0</v>
      </c>
      <c r="J9" s="242">
        <v>0</v>
      </c>
      <c r="K9" s="251">
        <f t="shared" si="7"/>
        <v>0</v>
      </c>
      <c r="L9" s="242">
        <v>0</v>
      </c>
      <c r="M9" s="251">
        <f t="shared" si="8"/>
        <v>0</v>
      </c>
      <c r="N9" s="242">
        <v>0</v>
      </c>
      <c r="O9" s="251">
        <f t="shared" si="9"/>
        <v>0</v>
      </c>
      <c r="P9" s="242">
        <v>0</v>
      </c>
      <c r="Q9" s="251">
        <f t="shared" si="10"/>
        <v>0</v>
      </c>
      <c r="R9" s="242">
        <v>0</v>
      </c>
      <c r="S9" s="251">
        <f t="shared" si="11"/>
        <v>0</v>
      </c>
      <c r="T9" s="242">
        <v>0</v>
      </c>
      <c r="U9" s="258">
        <f t="shared" si="12"/>
        <v>451359.56149061932</v>
      </c>
      <c r="V9" s="242">
        <f>ROUND(U9/C9,2)</f>
        <v>1</v>
      </c>
    </row>
    <row r="10" spans="1:22" s="7" customFormat="1" ht="15" thickBot="1">
      <c r="A10" s="240" t="str">
        <f>RESUMO!A12</f>
        <v>4.0</v>
      </c>
      <c r="B10" s="241" t="str">
        <f>RESUMO!B12</f>
        <v>C.E.I IZAURA ROQUE</v>
      </c>
      <c r="C10" s="250">
        <f>RESUMO!C12</f>
        <v>175620.31854962901</v>
      </c>
      <c r="D10" s="242">
        <f>RESUMO!D12</f>
        <v>3.9145386592564509E-2</v>
      </c>
      <c r="E10" s="503">
        <f t="shared" si="4"/>
        <v>0</v>
      </c>
      <c r="F10" s="497">
        <v>0</v>
      </c>
      <c r="G10" s="505">
        <f t="shared" si="5"/>
        <v>0</v>
      </c>
      <c r="H10" s="497">
        <v>0</v>
      </c>
      <c r="I10" s="492">
        <f t="shared" si="6"/>
        <v>0</v>
      </c>
      <c r="J10" s="242">
        <v>0</v>
      </c>
      <c r="K10" s="251">
        <f t="shared" si="7"/>
        <v>175620.31899999999</v>
      </c>
      <c r="L10" s="242">
        <v>1</v>
      </c>
      <c r="M10" s="251">
        <f t="shared" si="8"/>
        <v>0</v>
      </c>
      <c r="N10" s="242">
        <v>0</v>
      </c>
      <c r="O10" s="251">
        <f t="shared" si="9"/>
        <v>0</v>
      </c>
      <c r="P10" s="242">
        <v>0</v>
      </c>
      <c r="Q10" s="251">
        <f>ROUND(C10*R10,3)</f>
        <v>0</v>
      </c>
      <c r="R10" s="242">
        <v>0</v>
      </c>
      <c r="S10" s="251">
        <f>ROUND(C10*T10,3)</f>
        <v>0</v>
      </c>
      <c r="T10" s="242">
        <v>0</v>
      </c>
      <c r="U10" s="258">
        <f t="shared" si="12"/>
        <v>175620.31899999999</v>
      </c>
      <c r="V10" s="242">
        <f>ROUND(U10/C10,2)</f>
        <v>1</v>
      </c>
    </row>
    <row r="11" spans="1:22" s="7" customFormat="1" ht="15" thickBot="1">
      <c r="A11" s="240" t="str">
        <f>RESUMO!A13</f>
        <v>5.0</v>
      </c>
      <c r="B11" s="241" t="str">
        <f>RESUMO!B13</f>
        <v>C.E.I.FERNANDA DA SILVA FONSECA</v>
      </c>
      <c r="C11" s="250">
        <f>RESUMO!C13</f>
        <v>178056.92271059318</v>
      </c>
      <c r="D11" s="242">
        <f>RESUMO!D13</f>
        <v>3.9688500354353062E-2</v>
      </c>
      <c r="E11" s="503">
        <f t="shared" si="4"/>
        <v>0</v>
      </c>
      <c r="F11" s="497">
        <v>0</v>
      </c>
      <c r="G11" s="505">
        <f t="shared" si="5"/>
        <v>0</v>
      </c>
      <c r="H11" s="497">
        <v>0</v>
      </c>
      <c r="I11" s="492">
        <f t="shared" si="6"/>
        <v>0</v>
      </c>
      <c r="J11" s="242">
        <v>0</v>
      </c>
      <c r="K11" s="251">
        <f>ROUND(C11*L11,3)</f>
        <v>178056.92300000001</v>
      </c>
      <c r="L11" s="242">
        <v>1</v>
      </c>
      <c r="M11" s="251">
        <f t="shared" si="8"/>
        <v>0</v>
      </c>
      <c r="N11" s="242">
        <v>0</v>
      </c>
      <c r="O11" s="251">
        <f t="shared" si="9"/>
        <v>0</v>
      </c>
      <c r="P11" s="242">
        <v>0</v>
      </c>
      <c r="Q11" s="251">
        <f t="shared" ref="Q11:Q30" si="13">ROUND(C11*R11,3)</f>
        <v>0</v>
      </c>
      <c r="R11" s="242">
        <v>0</v>
      </c>
      <c r="S11" s="251">
        <f t="shared" ref="S11:S30" si="14">ROUND(C11*T11,3)</f>
        <v>0</v>
      </c>
      <c r="T11" s="242">
        <v>0</v>
      </c>
      <c r="U11" s="258">
        <f t="shared" si="12"/>
        <v>178056.92300000001</v>
      </c>
      <c r="V11" s="242">
        <f>ROUND(U11/C11,2)</f>
        <v>1</v>
      </c>
    </row>
    <row r="12" spans="1:22" s="7" customFormat="1" ht="15" thickBot="1">
      <c r="A12" s="240" t="str">
        <f>RESUMO!A14</f>
        <v>6.0</v>
      </c>
      <c r="B12" s="241" t="str">
        <f>RESUMO!B14</f>
        <v>C.E.I. FRANCISCO SALLES DE ABREU SAMPAIO</v>
      </c>
      <c r="C12" s="250">
        <f>RESUMO!C14</f>
        <v>206996.4608255222</v>
      </c>
      <c r="D12" s="242">
        <f>RESUMO!D14</f>
        <v>4.6139060384507075E-2</v>
      </c>
      <c r="E12" s="503">
        <f t="shared" si="4"/>
        <v>0</v>
      </c>
      <c r="F12" s="497">
        <v>0</v>
      </c>
      <c r="G12" s="505">
        <f t="shared" si="5"/>
        <v>0</v>
      </c>
      <c r="H12" s="497">
        <v>0</v>
      </c>
      <c r="I12" s="492">
        <f t="shared" si="6"/>
        <v>0</v>
      </c>
      <c r="J12" s="242">
        <v>0</v>
      </c>
      <c r="K12" s="251">
        <f t="shared" si="7"/>
        <v>0</v>
      </c>
      <c r="L12" s="242">
        <v>0</v>
      </c>
      <c r="M12" s="251">
        <f t="shared" si="8"/>
        <v>0</v>
      </c>
      <c r="N12" s="242">
        <v>0</v>
      </c>
      <c r="O12" s="251">
        <f t="shared" si="9"/>
        <v>0</v>
      </c>
      <c r="P12" s="242">
        <v>0</v>
      </c>
      <c r="Q12" s="251">
        <f t="shared" si="13"/>
        <v>0</v>
      </c>
      <c r="R12" s="242">
        <v>0</v>
      </c>
      <c r="S12" s="251">
        <f t="shared" si="14"/>
        <v>206996.46100000001</v>
      </c>
      <c r="T12" s="242">
        <v>1</v>
      </c>
      <c r="U12" s="258">
        <f t="shared" si="12"/>
        <v>206996.46100000001</v>
      </c>
      <c r="V12" s="242">
        <f>ROUND(U12/C12,2)</f>
        <v>1</v>
      </c>
    </row>
    <row r="13" spans="1:22" s="7" customFormat="1" ht="15" thickBot="1">
      <c r="A13" s="240" t="str">
        <f>RESUMO!A15</f>
        <v>7.0</v>
      </c>
      <c r="B13" s="241" t="str">
        <f>RESUMO!B15</f>
        <v>C.A.E.C. 1 - CENTRO DE ATIVIDADE EDUC COMPLEMENTAR 1</v>
      </c>
      <c r="C13" s="250">
        <f>RESUMO!C15</f>
        <v>123141.42094166984</v>
      </c>
      <c r="D13" s="242">
        <f>RESUMO!D15</f>
        <v>2.7447954588222488E-2</v>
      </c>
      <c r="E13" s="503">
        <f t="shared" si="4"/>
        <v>0</v>
      </c>
      <c r="F13" s="497">
        <v>0</v>
      </c>
      <c r="G13" s="505">
        <f t="shared" si="5"/>
        <v>0</v>
      </c>
      <c r="H13" s="497">
        <v>0</v>
      </c>
      <c r="I13" s="492">
        <f t="shared" si="6"/>
        <v>0</v>
      </c>
      <c r="J13" s="242">
        <v>0</v>
      </c>
      <c r="K13" s="251">
        <f t="shared" si="7"/>
        <v>0</v>
      </c>
      <c r="L13" s="242">
        <v>0</v>
      </c>
      <c r="M13" s="251">
        <f t="shared" si="8"/>
        <v>0</v>
      </c>
      <c r="N13" s="242">
        <v>0</v>
      </c>
      <c r="O13" s="251">
        <f t="shared" si="9"/>
        <v>0</v>
      </c>
      <c r="P13" s="242">
        <v>0</v>
      </c>
      <c r="Q13" s="251">
        <f t="shared" si="13"/>
        <v>0</v>
      </c>
      <c r="R13" s="242">
        <v>0</v>
      </c>
      <c r="S13" s="251">
        <f t="shared" si="14"/>
        <v>123141.421</v>
      </c>
      <c r="T13" s="242">
        <v>1</v>
      </c>
      <c r="U13" s="258">
        <f t="shared" si="12"/>
        <v>123141.421</v>
      </c>
      <c r="V13" s="242">
        <v>1</v>
      </c>
    </row>
    <row r="14" spans="1:22" s="7" customFormat="1" ht="15" thickBot="1">
      <c r="A14" s="240" t="str">
        <f>RESUMO!A16</f>
        <v>8.0</v>
      </c>
      <c r="B14" s="241" t="str">
        <f>RESUMO!B16</f>
        <v>C.A.E.C. 2 - CENTRO DE ATIVIDADE EDUC COMPLEMENTAR 2</v>
      </c>
      <c r="C14" s="250">
        <f>RESUMO!C16</f>
        <v>72915.555399064819</v>
      </c>
      <c r="D14" s="242">
        <f>RESUMO!D16</f>
        <v>1.6252718525284648E-2</v>
      </c>
      <c r="E14" s="503">
        <f t="shared" si="4"/>
        <v>0</v>
      </c>
      <c r="F14" s="497">
        <v>0</v>
      </c>
      <c r="G14" s="505">
        <f t="shared" ref="G14:G30" si="15">C14*H14</f>
        <v>0</v>
      </c>
      <c r="H14" s="497">
        <v>0</v>
      </c>
      <c r="I14" s="492">
        <f t="shared" ref="I14:I30" si="16">ROUND(C14*J14,3)</f>
        <v>0</v>
      </c>
      <c r="J14" s="242">
        <v>0</v>
      </c>
      <c r="K14" s="251">
        <f t="shared" ref="K14:K30" si="17">ROUND(C14*L14,3)</f>
        <v>0</v>
      </c>
      <c r="L14" s="242">
        <v>0</v>
      </c>
      <c r="M14" s="251">
        <f t="shared" si="8"/>
        <v>0</v>
      </c>
      <c r="N14" s="242">
        <v>0</v>
      </c>
      <c r="O14" s="251">
        <f t="shared" si="9"/>
        <v>72915.554999999993</v>
      </c>
      <c r="P14" s="242">
        <v>1</v>
      </c>
      <c r="Q14" s="251">
        <f t="shared" si="13"/>
        <v>0</v>
      </c>
      <c r="R14" s="242">
        <v>0</v>
      </c>
      <c r="S14" s="251">
        <f t="shared" si="14"/>
        <v>0</v>
      </c>
      <c r="T14" s="242">
        <v>0</v>
      </c>
      <c r="U14" s="258">
        <f t="shared" si="12"/>
        <v>72915.554999999993</v>
      </c>
      <c r="V14" s="242">
        <f t="shared" ref="V14:V30" si="18">ROUND(U14/C14,2)</f>
        <v>1</v>
      </c>
    </row>
    <row r="15" spans="1:22" s="7" customFormat="1" ht="15" thickBot="1">
      <c r="A15" s="240" t="str">
        <f>RESUMO!A17</f>
        <v>9.0</v>
      </c>
      <c r="B15" s="241" t="str">
        <f>RESUMO!B17</f>
        <v>C.E.I. IZOLINA ZANCOPÉ MUNARI</v>
      </c>
      <c r="C15" s="250">
        <f>RESUMO!C17</f>
        <v>148740.9838695268</v>
      </c>
      <c r="D15" s="242">
        <f>RESUMO!D17</f>
        <v>3.3154041421953266E-2</v>
      </c>
      <c r="E15" s="503">
        <f t="shared" si="4"/>
        <v>0</v>
      </c>
      <c r="F15" s="497">
        <v>0</v>
      </c>
      <c r="G15" s="505">
        <f t="shared" si="15"/>
        <v>0</v>
      </c>
      <c r="H15" s="497">
        <v>0</v>
      </c>
      <c r="I15" s="492">
        <f t="shared" si="16"/>
        <v>0</v>
      </c>
      <c r="J15" s="242">
        <v>0</v>
      </c>
      <c r="K15" s="251">
        <f t="shared" si="17"/>
        <v>148740.984</v>
      </c>
      <c r="L15" s="242">
        <v>1</v>
      </c>
      <c r="M15" s="251">
        <f t="shared" si="8"/>
        <v>0</v>
      </c>
      <c r="N15" s="242">
        <v>0</v>
      </c>
      <c r="O15" s="251">
        <f t="shared" si="9"/>
        <v>0</v>
      </c>
      <c r="P15" s="242">
        <v>0</v>
      </c>
      <c r="Q15" s="251">
        <f t="shared" si="13"/>
        <v>0</v>
      </c>
      <c r="R15" s="242">
        <v>0</v>
      </c>
      <c r="S15" s="251">
        <f t="shared" si="14"/>
        <v>0</v>
      </c>
      <c r="T15" s="242">
        <v>0</v>
      </c>
      <c r="U15" s="258">
        <f t="shared" si="12"/>
        <v>148740.984</v>
      </c>
      <c r="V15" s="242">
        <f t="shared" si="18"/>
        <v>1</v>
      </c>
    </row>
    <row r="16" spans="1:22" s="7" customFormat="1" ht="15" thickBot="1">
      <c r="A16" s="240" t="str">
        <f>RESUMO!A18</f>
        <v>10.0</v>
      </c>
      <c r="B16" s="241" t="str">
        <f>RESUMO!B18</f>
        <v>E.M.E.B. PROF. ELAINE MARIA ALVES SIQUEIRA</v>
      </c>
      <c r="C16" s="250">
        <f>RESUMO!C18</f>
        <v>128827.9235805037</v>
      </c>
      <c r="D16" s="242">
        <f>RESUMO!D18</f>
        <v>2.8715463644094545E-2</v>
      </c>
      <c r="E16" s="503">
        <f t="shared" si="4"/>
        <v>0</v>
      </c>
      <c r="F16" s="497">
        <v>0</v>
      </c>
      <c r="G16" s="505">
        <f t="shared" si="15"/>
        <v>0</v>
      </c>
      <c r="H16" s="497">
        <v>0</v>
      </c>
      <c r="I16" s="492">
        <f t="shared" si="16"/>
        <v>128827.924</v>
      </c>
      <c r="J16" s="242">
        <v>1</v>
      </c>
      <c r="K16" s="251">
        <f t="shared" si="17"/>
        <v>0</v>
      </c>
      <c r="L16" s="242">
        <v>0</v>
      </c>
      <c r="M16" s="251">
        <f t="shared" si="8"/>
        <v>0</v>
      </c>
      <c r="N16" s="242">
        <v>0</v>
      </c>
      <c r="O16" s="251">
        <f t="shared" si="9"/>
        <v>0</v>
      </c>
      <c r="P16" s="242">
        <v>0</v>
      </c>
      <c r="Q16" s="251">
        <f t="shared" si="13"/>
        <v>0</v>
      </c>
      <c r="R16" s="242">
        <v>0</v>
      </c>
      <c r="S16" s="251">
        <f t="shared" si="14"/>
        <v>0</v>
      </c>
      <c r="T16" s="242">
        <v>0</v>
      </c>
      <c r="U16" s="258">
        <f t="shared" si="12"/>
        <v>128827.924</v>
      </c>
      <c r="V16" s="242">
        <f t="shared" si="18"/>
        <v>1</v>
      </c>
    </row>
    <row r="17" spans="1:22" s="7" customFormat="1" ht="15" thickBot="1">
      <c r="A17" s="240" t="str">
        <f>RESUMO!A19</f>
        <v>11.0</v>
      </c>
      <c r="B17" s="241" t="str">
        <f>RESUMO!B19</f>
        <v>E.M.E.B. DR.ARLINDO MORANDINI</v>
      </c>
      <c r="C17" s="250">
        <f>RESUMO!C19</f>
        <v>128800.36266500746</v>
      </c>
      <c r="D17" s="242">
        <f>RESUMO!D19</f>
        <v>2.8709320376044154E-2</v>
      </c>
      <c r="E17" s="503">
        <f t="shared" si="4"/>
        <v>0</v>
      </c>
      <c r="F17" s="497">
        <v>0</v>
      </c>
      <c r="G17" s="505">
        <f t="shared" si="15"/>
        <v>0</v>
      </c>
      <c r="H17" s="497">
        <v>0</v>
      </c>
      <c r="I17" s="492">
        <f t="shared" si="16"/>
        <v>0</v>
      </c>
      <c r="J17" s="242">
        <v>0</v>
      </c>
      <c r="K17" s="251">
        <f t="shared" si="17"/>
        <v>0</v>
      </c>
      <c r="L17" s="242">
        <v>0</v>
      </c>
      <c r="M17" s="251">
        <f t="shared" si="8"/>
        <v>0</v>
      </c>
      <c r="N17" s="242">
        <v>0</v>
      </c>
      <c r="O17" s="251">
        <f t="shared" si="9"/>
        <v>128800.363</v>
      </c>
      <c r="P17" s="242">
        <v>1</v>
      </c>
      <c r="Q17" s="251">
        <f t="shared" si="13"/>
        <v>0</v>
      </c>
      <c r="R17" s="242">
        <v>0</v>
      </c>
      <c r="S17" s="251">
        <f t="shared" si="14"/>
        <v>0</v>
      </c>
      <c r="T17" s="242">
        <v>0</v>
      </c>
      <c r="U17" s="258">
        <f t="shared" si="12"/>
        <v>128800.363</v>
      </c>
      <c r="V17" s="242">
        <f t="shared" si="18"/>
        <v>1</v>
      </c>
    </row>
    <row r="18" spans="1:22" s="7" customFormat="1" ht="15" thickBot="1">
      <c r="A18" s="240" t="str">
        <f>RESUMO!A20</f>
        <v>12.0</v>
      </c>
      <c r="B18" s="241" t="str">
        <f>RESUMO!B20</f>
        <v>E.M.E.B. ENFERMEIRA MARIA MAGDALENA BRASIL</v>
      </c>
      <c r="C18" s="250">
        <f>RESUMO!C20</f>
        <v>161862.8089571904</v>
      </c>
      <c r="D18" s="242">
        <f>RESUMO!D20</f>
        <v>3.607886766130123E-2</v>
      </c>
      <c r="E18" s="503">
        <f t="shared" si="4"/>
        <v>0</v>
      </c>
      <c r="F18" s="497">
        <v>0</v>
      </c>
      <c r="G18" s="505">
        <f t="shared" si="15"/>
        <v>0</v>
      </c>
      <c r="H18" s="497">
        <v>0</v>
      </c>
      <c r="I18" s="492">
        <f t="shared" si="16"/>
        <v>0</v>
      </c>
      <c r="J18" s="242">
        <v>0</v>
      </c>
      <c r="K18" s="251">
        <f t="shared" si="17"/>
        <v>0</v>
      </c>
      <c r="L18" s="242">
        <v>0</v>
      </c>
      <c r="M18" s="251">
        <f t="shared" si="8"/>
        <v>0</v>
      </c>
      <c r="N18" s="242">
        <v>0</v>
      </c>
      <c r="O18" s="251">
        <f t="shared" si="9"/>
        <v>0</v>
      </c>
      <c r="P18" s="242">
        <v>0</v>
      </c>
      <c r="Q18" s="251">
        <f t="shared" si="13"/>
        <v>161862.80900000001</v>
      </c>
      <c r="R18" s="242">
        <v>1</v>
      </c>
      <c r="S18" s="251">
        <f t="shared" si="14"/>
        <v>0</v>
      </c>
      <c r="T18" s="242">
        <v>0</v>
      </c>
      <c r="U18" s="258">
        <f t="shared" si="12"/>
        <v>161862.80900000001</v>
      </c>
      <c r="V18" s="242">
        <f t="shared" si="18"/>
        <v>1</v>
      </c>
    </row>
    <row r="19" spans="1:22" s="7" customFormat="1" ht="15" thickBot="1">
      <c r="A19" s="240" t="str">
        <f>RESUMO!A21</f>
        <v>13.0</v>
      </c>
      <c r="B19" s="241" t="str">
        <f>RESUMO!B21</f>
        <v>C.E.I. ODETTE LEITE DE MORAES</v>
      </c>
      <c r="C19" s="250">
        <f>RESUMO!C21</f>
        <v>181590.30238232741</v>
      </c>
      <c r="D19" s="242">
        <f>RESUMO!D21</f>
        <v>4.0476082989270433E-2</v>
      </c>
      <c r="E19" s="503">
        <f t="shared" si="4"/>
        <v>0</v>
      </c>
      <c r="F19" s="497">
        <v>0</v>
      </c>
      <c r="G19" s="505">
        <f t="shared" si="15"/>
        <v>0</v>
      </c>
      <c r="H19" s="497">
        <v>0</v>
      </c>
      <c r="I19" s="492">
        <f t="shared" si="16"/>
        <v>0</v>
      </c>
      <c r="J19" s="242">
        <v>0</v>
      </c>
      <c r="K19" s="251">
        <f t="shared" si="17"/>
        <v>181590.302</v>
      </c>
      <c r="L19" s="242">
        <v>1</v>
      </c>
      <c r="M19" s="251">
        <f t="shared" si="8"/>
        <v>0</v>
      </c>
      <c r="N19" s="242">
        <v>0</v>
      </c>
      <c r="O19" s="251">
        <f t="shared" si="9"/>
        <v>0</v>
      </c>
      <c r="P19" s="242">
        <v>0</v>
      </c>
      <c r="Q19" s="251">
        <f t="shared" si="13"/>
        <v>0</v>
      </c>
      <c r="R19" s="242">
        <v>0</v>
      </c>
      <c r="S19" s="251">
        <f t="shared" si="14"/>
        <v>0</v>
      </c>
      <c r="T19" s="242">
        <v>0</v>
      </c>
      <c r="U19" s="258">
        <f t="shared" si="12"/>
        <v>181590.302</v>
      </c>
      <c r="V19" s="242">
        <f t="shared" si="18"/>
        <v>1</v>
      </c>
    </row>
    <row r="20" spans="1:22" s="7" customFormat="1" ht="15" thickBot="1">
      <c r="A20" s="240" t="str">
        <f>RESUMO!A22</f>
        <v>14.0</v>
      </c>
      <c r="B20" s="241" t="str">
        <f>RESUMO!B22</f>
        <v>E.M.E.B. PROFESSORA VITÓRIA OLIVITO NONINO</v>
      </c>
      <c r="C20" s="250">
        <f>RESUMO!C22</f>
        <v>262464.6741227294</v>
      </c>
      <c r="D20" s="242">
        <f>RESUMO!D22</f>
        <v>5.8502804346766218E-2</v>
      </c>
      <c r="E20" s="503">
        <f t="shared" si="4"/>
        <v>0</v>
      </c>
      <c r="F20" s="497">
        <v>0</v>
      </c>
      <c r="G20" s="505">
        <f t="shared" si="15"/>
        <v>0</v>
      </c>
      <c r="H20" s="497">
        <v>0</v>
      </c>
      <c r="I20" s="492">
        <f t="shared" si="16"/>
        <v>262464.674</v>
      </c>
      <c r="J20" s="242">
        <v>1</v>
      </c>
      <c r="K20" s="251">
        <f t="shared" si="17"/>
        <v>0</v>
      </c>
      <c r="L20" s="242">
        <v>0</v>
      </c>
      <c r="M20" s="251">
        <f t="shared" si="8"/>
        <v>0</v>
      </c>
      <c r="N20" s="242">
        <v>0</v>
      </c>
      <c r="O20" s="251">
        <f t="shared" si="9"/>
        <v>0</v>
      </c>
      <c r="P20" s="242">
        <v>0</v>
      </c>
      <c r="Q20" s="251">
        <f t="shared" si="13"/>
        <v>0</v>
      </c>
      <c r="R20" s="242">
        <v>0</v>
      </c>
      <c r="S20" s="251">
        <f t="shared" si="14"/>
        <v>0</v>
      </c>
      <c r="T20" s="242">
        <v>0</v>
      </c>
      <c r="U20" s="258">
        <f t="shared" si="12"/>
        <v>262464.674</v>
      </c>
      <c r="V20" s="242">
        <f t="shared" si="18"/>
        <v>1</v>
      </c>
    </row>
    <row r="21" spans="1:22" s="7" customFormat="1" ht="15" thickBot="1">
      <c r="A21" s="240" t="str">
        <f>RESUMO!A23</f>
        <v>15.0</v>
      </c>
      <c r="B21" s="241" t="str">
        <f>RESUMO!B23</f>
        <v>E.M.E.B. PROFESSORA ALCINÉIA GOUVEIA DE FREITAS</v>
      </c>
      <c r="C21" s="250">
        <f>RESUMO!C23</f>
        <v>222727.28206986401</v>
      </c>
      <c r="D21" s="242">
        <f>RESUMO!D23</f>
        <v>4.9645426186105762E-2</v>
      </c>
      <c r="E21" s="503">
        <f t="shared" si="4"/>
        <v>0</v>
      </c>
      <c r="F21" s="497">
        <v>0</v>
      </c>
      <c r="G21" s="505">
        <f t="shared" si="15"/>
        <v>0</v>
      </c>
      <c r="H21" s="497">
        <v>0</v>
      </c>
      <c r="I21" s="492">
        <f t="shared" si="16"/>
        <v>0</v>
      </c>
      <c r="J21" s="242">
        <v>0</v>
      </c>
      <c r="K21" s="251">
        <f t="shared" si="17"/>
        <v>0</v>
      </c>
      <c r="L21" s="242">
        <v>0</v>
      </c>
      <c r="M21" s="251">
        <f t="shared" si="8"/>
        <v>222727.28200000001</v>
      </c>
      <c r="N21" s="242">
        <v>1</v>
      </c>
      <c r="O21" s="251">
        <f t="shared" si="9"/>
        <v>0</v>
      </c>
      <c r="P21" s="242">
        <v>0</v>
      </c>
      <c r="Q21" s="251">
        <f t="shared" si="13"/>
        <v>0</v>
      </c>
      <c r="R21" s="242">
        <v>0</v>
      </c>
      <c r="S21" s="251">
        <f t="shared" si="14"/>
        <v>0</v>
      </c>
      <c r="T21" s="242">
        <v>0</v>
      </c>
      <c r="U21" s="258">
        <f t="shared" si="12"/>
        <v>222727.28200000001</v>
      </c>
      <c r="V21" s="242">
        <f t="shared" si="18"/>
        <v>1</v>
      </c>
    </row>
    <row r="22" spans="1:22" s="7" customFormat="1" ht="15" thickBot="1">
      <c r="A22" s="240" t="str">
        <f>RESUMO!A24</f>
        <v>16.0</v>
      </c>
      <c r="B22" s="241" t="str">
        <f>RESUMO!B24</f>
        <v>E.M.E.B. ARTHUR OLIVA</v>
      </c>
      <c r="C22" s="250">
        <f>RESUMO!C24</f>
        <v>250987.74332702754</v>
      </c>
      <c r="D22" s="242">
        <f>RESUMO!D24</f>
        <v>5.5944621463349463E-2</v>
      </c>
      <c r="E22" s="503">
        <f t="shared" si="4"/>
        <v>0</v>
      </c>
      <c r="F22" s="497">
        <v>0</v>
      </c>
      <c r="G22" s="505">
        <f t="shared" si="15"/>
        <v>250987.74332702754</v>
      </c>
      <c r="H22" s="497">
        <v>1</v>
      </c>
      <c r="I22" s="492">
        <f t="shared" si="16"/>
        <v>0</v>
      </c>
      <c r="J22" s="242">
        <v>0</v>
      </c>
      <c r="K22" s="251">
        <f t="shared" si="17"/>
        <v>0</v>
      </c>
      <c r="L22" s="242">
        <v>0</v>
      </c>
      <c r="M22" s="251">
        <f t="shared" si="8"/>
        <v>0</v>
      </c>
      <c r="N22" s="242">
        <v>0</v>
      </c>
      <c r="O22" s="251">
        <f t="shared" si="9"/>
        <v>0</v>
      </c>
      <c r="P22" s="242">
        <v>0</v>
      </c>
      <c r="Q22" s="251">
        <f t="shared" si="13"/>
        <v>0</v>
      </c>
      <c r="R22" s="242">
        <v>0</v>
      </c>
      <c r="S22" s="251">
        <f t="shared" si="14"/>
        <v>0</v>
      </c>
      <c r="T22" s="242">
        <v>0</v>
      </c>
      <c r="U22" s="258">
        <f t="shared" si="12"/>
        <v>250987.74332702754</v>
      </c>
      <c r="V22" s="242">
        <f t="shared" si="18"/>
        <v>1</v>
      </c>
    </row>
    <row r="23" spans="1:22" s="7" customFormat="1" ht="15" thickBot="1">
      <c r="A23" s="240" t="str">
        <f>RESUMO!A25</f>
        <v>17.0</v>
      </c>
      <c r="B23" s="241" t="str">
        <f>RESUMO!B25</f>
        <v>E.M.E.B. IRMA DE MIRANDA MELLO</v>
      </c>
      <c r="C23" s="250">
        <f>RESUMO!C25</f>
        <v>152393.72856774411</v>
      </c>
      <c r="D23" s="242">
        <f>RESUMO!D25</f>
        <v>3.3968230261357119E-2</v>
      </c>
      <c r="E23" s="503">
        <f t="shared" si="4"/>
        <v>0</v>
      </c>
      <c r="F23" s="497">
        <v>0</v>
      </c>
      <c r="G23" s="505">
        <f t="shared" si="15"/>
        <v>0</v>
      </c>
      <c r="H23" s="497">
        <v>0</v>
      </c>
      <c r="I23" s="492">
        <f t="shared" si="16"/>
        <v>0</v>
      </c>
      <c r="J23" s="242">
        <v>0</v>
      </c>
      <c r="K23" s="251">
        <f t="shared" si="17"/>
        <v>0</v>
      </c>
      <c r="L23" s="242">
        <v>0</v>
      </c>
      <c r="M23" s="251">
        <f t="shared" si="8"/>
        <v>0</v>
      </c>
      <c r="N23" s="242">
        <v>0</v>
      </c>
      <c r="O23" s="251">
        <f t="shared" si="9"/>
        <v>0</v>
      </c>
      <c r="P23" s="242">
        <v>0</v>
      </c>
      <c r="Q23" s="251">
        <f t="shared" si="13"/>
        <v>152393.72899999999</v>
      </c>
      <c r="R23" s="242">
        <v>1</v>
      </c>
      <c r="S23" s="251">
        <f t="shared" si="14"/>
        <v>0</v>
      </c>
      <c r="T23" s="242">
        <v>0</v>
      </c>
      <c r="U23" s="258">
        <f t="shared" si="12"/>
        <v>152393.72899999999</v>
      </c>
      <c r="V23" s="242">
        <f t="shared" si="18"/>
        <v>1</v>
      </c>
    </row>
    <row r="24" spans="1:22" s="7" customFormat="1" ht="15" thickBot="1">
      <c r="A24" s="240" t="str">
        <f>RESUMO!A26</f>
        <v>18.0</v>
      </c>
      <c r="B24" s="241" t="str">
        <f>RESUMO!B26</f>
        <v>E.M.E.B. MARIA LUCIA BERTI</v>
      </c>
      <c r="C24" s="250">
        <f>RESUMO!C26</f>
        <v>127034.51419575445</v>
      </c>
      <c r="D24" s="242">
        <f>RESUMO!D26</f>
        <v>2.8315716597371681E-2</v>
      </c>
      <c r="E24" s="503">
        <f t="shared" si="4"/>
        <v>0</v>
      </c>
      <c r="F24" s="497">
        <v>0</v>
      </c>
      <c r="G24" s="505">
        <f t="shared" si="15"/>
        <v>0</v>
      </c>
      <c r="H24" s="497">
        <v>0</v>
      </c>
      <c r="I24" s="492">
        <f t="shared" si="16"/>
        <v>0</v>
      </c>
      <c r="J24" s="242">
        <v>0</v>
      </c>
      <c r="K24" s="251">
        <f t="shared" si="17"/>
        <v>0</v>
      </c>
      <c r="L24" s="242">
        <v>0</v>
      </c>
      <c r="M24" s="251">
        <f t="shared" si="8"/>
        <v>127034.514</v>
      </c>
      <c r="N24" s="242">
        <v>1</v>
      </c>
      <c r="O24" s="251">
        <f t="shared" si="9"/>
        <v>0</v>
      </c>
      <c r="P24" s="242">
        <v>0</v>
      </c>
      <c r="Q24" s="251">
        <f t="shared" si="13"/>
        <v>0</v>
      </c>
      <c r="R24" s="242">
        <v>0</v>
      </c>
      <c r="S24" s="251">
        <f t="shared" si="14"/>
        <v>0</v>
      </c>
      <c r="T24" s="242">
        <v>0</v>
      </c>
      <c r="U24" s="258">
        <f t="shared" si="12"/>
        <v>127034.514</v>
      </c>
      <c r="V24" s="242">
        <f t="shared" si="18"/>
        <v>1</v>
      </c>
    </row>
    <row r="25" spans="1:22" s="7" customFormat="1" ht="15" thickBot="1">
      <c r="A25" s="240" t="str">
        <f>RESUMO!A27</f>
        <v>19.0</v>
      </c>
      <c r="B25" s="241" t="str">
        <f>RESUMO!B27</f>
        <v>E.M.E.B. MAURÍCIO LEITE DE MORAES</v>
      </c>
      <c r="C25" s="250">
        <f>RESUMO!C27</f>
        <v>276647.17288072209</v>
      </c>
      <c r="D25" s="242">
        <f>RESUMO!D27</f>
        <v>6.1664052437620243E-2</v>
      </c>
      <c r="E25" s="503">
        <f t="shared" si="4"/>
        <v>0</v>
      </c>
      <c r="F25" s="497">
        <v>0</v>
      </c>
      <c r="G25" s="505">
        <f t="shared" si="15"/>
        <v>0</v>
      </c>
      <c r="H25" s="497">
        <v>0</v>
      </c>
      <c r="I25" s="492">
        <f t="shared" si="16"/>
        <v>0</v>
      </c>
      <c r="J25" s="242">
        <v>0</v>
      </c>
      <c r="K25" s="251">
        <f t="shared" si="17"/>
        <v>0</v>
      </c>
      <c r="L25" s="242">
        <v>0</v>
      </c>
      <c r="M25" s="251">
        <f t="shared" si="8"/>
        <v>0</v>
      </c>
      <c r="N25" s="242">
        <v>0</v>
      </c>
      <c r="O25" s="251">
        <f t="shared" si="9"/>
        <v>276647.17300000001</v>
      </c>
      <c r="P25" s="242">
        <v>1</v>
      </c>
      <c r="Q25" s="251">
        <f t="shared" si="13"/>
        <v>0</v>
      </c>
      <c r="R25" s="242">
        <v>0</v>
      </c>
      <c r="S25" s="251">
        <f t="shared" si="14"/>
        <v>0</v>
      </c>
      <c r="T25" s="242">
        <v>0</v>
      </c>
      <c r="U25" s="258">
        <f t="shared" si="12"/>
        <v>276647.17300000001</v>
      </c>
      <c r="V25" s="242">
        <f t="shared" si="18"/>
        <v>1</v>
      </c>
    </row>
    <row r="26" spans="1:22" s="7" customFormat="1" ht="15" thickBot="1">
      <c r="A26" s="240" t="str">
        <f>RESUMO!A28</f>
        <v>20.0</v>
      </c>
      <c r="B26" s="241" t="str">
        <f>RESUMO!B28</f>
        <v>C.E.I. JOSÉ RIBEIRO DE MENDONÇA NETO</v>
      </c>
      <c r="C26" s="250">
        <f>RESUMO!C28</f>
        <v>154297.36785412821</v>
      </c>
      <c r="D26" s="242">
        <f>RESUMO!D28</f>
        <v>3.4392547313129469E-2</v>
      </c>
      <c r="E26" s="503">
        <f t="shared" si="4"/>
        <v>0</v>
      </c>
      <c r="F26" s="497">
        <v>0</v>
      </c>
      <c r="G26" s="505">
        <f t="shared" si="15"/>
        <v>0</v>
      </c>
      <c r="H26" s="497">
        <v>0</v>
      </c>
      <c r="I26" s="492">
        <f t="shared" si="16"/>
        <v>0</v>
      </c>
      <c r="J26" s="242">
        <v>0</v>
      </c>
      <c r="K26" s="251">
        <f t="shared" si="17"/>
        <v>0</v>
      </c>
      <c r="L26" s="242">
        <v>0</v>
      </c>
      <c r="M26" s="251">
        <f t="shared" si="8"/>
        <v>154297.36799999999</v>
      </c>
      <c r="N26" s="242">
        <v>1</v>
      </c>
      <c r="O26" s="251">
        <f t="shared" si="9"/>
        <v>0</v>
      </c>
      <c r="P26" s="242">
        <v>0</v>
      </c>
      <c r="Q26" s="251">
        <f t="shared" si="13"/>
        <v>0</v>
      </c>
      <c r="R26" s="242">
        <v>0</v>
      </c>
      <c r="S26" s="251">
        <f t="shared" si="14"/>
        <v>0</v>
      </c>
      <c r="T26" s="242">
        <v>0</v>
      </c>
      <c r="U26" s="258">
        <f t="shared" si="12"/>
        <v>154297.36799999999</v>
      </c>
      <c r="V26" s="242">
        <f t="shared" si="18"/>
        <v>1</v>
      </c>
    </row>
    <row r="27" spans="1:22" s="7" customFormat="1" ht="15" thickBot="1">
      <c r="A27" s="240" t="str">
        <f>RESUMO!A29</f>
        <v>21.0</v>
      </c>
      <c r="B27" s="241" t="str">
        <f>RESUMO!B29</f>
        <v>E.M.E.B. PAULO BIMBO GOMES</v>
      </c>
      <c r="C27" s="250">
        <f>RESUMO!C29</f>
        <v>134969.45008344884</v>
      </c>
      <c r="D27" s="242">
        <f>RESUMO!D29</f>
        <v>3.0084396528465378E-2</v>
      </c>
      <c r="E27" s="503">
        <f t="shared" si="4"/>
        <v>0</v>
      </c>
      <c r="F27" s="497">
        <v>0</v>
      </c>
      <c r="G27" s="505">
        <f t="shared" si="15"/>
        <v>0</v>
      </c>
      <c r="H27" s="497">
        <v>0</v>
      </c>
      <c r="I27" s="492">
        <f t="shared" si="16"/>
        <v>0</v>
      </c>
      <c r="J27" s="242">
        <v>0</v>
      </c>
      <c r="K27" s="251">
        <f t="shared" si="17"/>
        <v>0</v>
      </c>
      <c r="L27" s="242">
        <v>0</v>
      </c>
      <c r="M27" s="251">
        <f t="shared" si="8"/>
        <v>134969.45000000001</v>
      </c>
      <c r="N27" s="242">
        <v>1</v>
      </c>
      <c r="O27" s="251">
        <f t="shared" si="9"/>
        <v>0</v>
      </c>
      <c r="P27" s="242">
        <v>0</v>
      </c>
      <c r="Q27" s="251">
        <f t="shared" si="13"/>
        <v>0</v>
      </c>
      <c r="R27" s="242">
        <v>0</v>
      </c>
      <c r="S27" s="251">
        <f t="shared" si="14"/>
        <v>0</v>
      </c>
      <c r="T27" s="242">
        <v>0</v>
      </c>
      <c r="U27" s="258">
        <f t="shared" si="12"/>
        <v>134969.45000000001</v>
      </c>
      <c r="V27" s="242">
        <f t="shared" si="18"/>
        <v>1</v>
      </c>
    </row>
    <row r="28" spans="1:22" s="7" customFormat="1" ht="15" thickBot="1">
      <c r="A28" s="240" t="str">
        <f>RESUMO!A30</f>
        <v>22.0</v>
      </c>
      <c r="B28" s="241" t="str">
        <f>RESUMO!B30</f>
        <v>E.M.E.B. PEDRO BORDIGNON NETO II</v>
      </c>
      <c r="C28" s="250">
        <f>RESUMO!C30</f>
        <v>115964.97607932807</v>
      </c>
      <c r="D28" s="242">
        <f>RESUMO!D30</f>
        <v>2.5848340655070415E-2</v>
      </c>
      <c r="E28" s="503">
        <f t="shared" si="4"/>
        <v>0</v>
      </c>
      <c r="F28" s="497">
        <v>0</v>
      </c>
      <c r="G28" s="505">
        <f t="shared" si="15"/>
        <v>0</v>
      </c>
      <c r="H28" s="497">
        <v>0</v>
      </c>
      <c r="I28" s="492">
        <f t="shared" si="16"/>
        <v>0</v>
      </c>
      <c r="J28" s="242">
        <v>0</v>
      </c>
      <c r="K28" s="251">
        <f t="shared" si="17"/>
        <v>0</v>
      </c>
      <c r="L28" s="242">
        <v>0</v>
      </c>
      <c r="M28" s="251">
        <f t="shared" si="8"/>
        <v>0</v>
      </c>
      <c r="N28" s="242">
        <v>0</v>
      </c>
      <c r="O28" s="251">
        <f t="shared" si="9"/>
        <v>0</v>
      </c>
      <c r="P28" s="242">
        <v>0</v>
      </c>
      <c r="Q28" s="251">
        <f t="shared" si="13"/>
        <v>0</v>
      </c>
      <c r="R28" s="242">
        <v>0</v>
      </c>
      <c r="S28" s="251">
        <f t="shared" si="14"/>
        <v>115964.976</v>
      </c>
      <c r="T28" s="242">
        <v>1</v>
      </c>
      <c r="U28" s="258">
        <f t="shared" si="12"/>
        <v>115964.976</v>
      </c>
      <c r="V28" s="242">
        <f t="shared" si="18"/>
        <v>1</v>
      </c>
    </row>
    <row r="29" spans="1:22" s="7" customFormat="1" ht="15" thickBot="1">
      <c r="A29" s="240" t="str">
        <f>RESUMO!A31</f>
        <v>23.0</v>
      </c>
      <c r="B29" s="241" t="str">
        <f>RESUMO!B31</f>
        <v>E.M.E.B. SANTO GARBIM</v>
      </c>
      <c r="C29" s="250">
        <f>RESUMO!C31</f>
        <v>98037.684005776246</v>
      </c>
      <c r="D29" s="242">
        <f>RESUMO!D31</f>
        <v>2.1852386288442341E-2</v>
      </c>
      <c r="E29" s="503">
        <f t="shared" si="4"/>
        <v>0</v>
      </c>
      <c r="F29" s="497">
        <v>0</v>
      </c>
      <c r="G29" s="505">
        <f t="shared" si="15"/>
        <v>0</v>
      </c>
      <c r="H29" s="497">
        <v>0</v>
      </c>
      <c r="I29" s="492">
        <f t="shared" si="16"/>
        <v>0</v>
      </c>
      <c r="J29" s="242">
        <v>0</v>
      </c>
      <c r="K29" s="251">
        <f t="shared" si="17"/>
        <v>0</v>
      </c>
      <c r="L29" s="242">
        <v>0</v>
      </c>
      <c r="M29" s="251">
        <f t="shared" si="8"/>
        <v>0</v>
      </c>
      <c r="N29" s="242">
        <v>0</v>
      </c>
      <c r="O29" s="251">
        <f t="shared" si="9"/>
        <v>0</v>
      </c>
      <c r="P29" s="242">
        <v>0</v>
      </c>
      <c r="Q29" s="251">
        <f t="shared" si="13"/>
        <v>98037.683999999994</v>
      </c>
      <c r="R29" s="242">
        <v>1</v>
      </c>
      <c r="S29" s="251">
        <f t="shared" si="14"/>
        <v>0</v>
      </c>
      <c r="T29" s="242">
        <v>0</v>
      </c>
      <c r="U29" s="258">
        <f t="shared" si="12"/>
        <v>98037.683999999994</v>
      </c>
      <c r="V29" s="242">
        <f t="shared" si="18"/>
        <v>1</v>
      </c>
    </row>
    <row r="30" spans="1:22" s="7" customFormat="1" ht="15" thickBot="1">
      <c r="A30" s="240" t="str">
        <f>RESUMO!A32</f>
        <v>24.0</v>
      </c>
      <c r="B30" s="241" t="str">
        <f>RESUMO!B32</f>
        <v>E.M.E.B. PEDRO BORDIGNON NETO I</v>
      </c>
      <c r="C30" s="250">
        <f>RESUMO!C32</f>
        <v>184046.51378214333</v>
      </c>
      <c r="D30" s="242">
        <f>RESUMO!D32</f>
        <v>4.102356716190441E-2</v>
      </c>
      <c r="E30" s="503">
        <f t="shared" si="4"/>
        <v>0</v>
      </c>
      <c r="F30" s="499">
        <v>0</v>
      </c>
      <c r="G30" s="506">
        <f t="shared" si="15"/>
        <v>0</v>
      </c>
      <c r="H30" s="499">
        <v>0</v>
      </c>
      <c r="I30" s="500">
        <f t="shared" si="16"/>
        <v>184046.514</v>
      </c>
      <c r="J30" s="493">
        <v>1</v>
      </c>
      <c r="K30" s="501">
        <f t="shared" si="17"/>
        <v>0</v>
      </c>
      <c r="L30" s="493">
        <v>0</v>
      </c>
      <c r="M30" s="251">
        <f t="shared" si="8"/>
        <v>0</v>
      </c>
      <c r="N30" s="493">
        <v>0</v>
      </c>
      <c r="O30" s="251">
        <f t="shared" si="9"/>
        <v>0</v>
      </c>
      <c r="P30" s="493">
        <v>0</v>
      </c>
      <c r="Q30" s="251">
        <f t="shared" si="13"/>
        <v>0</v>
      </c>
      <c r="R30" s="493">
        <v>0</v>
      </c>
      <c r="S30" s="251">
        <f t="shared" si="14"/>
        <v>0</v>
      </c>
      <c r="T30" s="493">
        <v>0</v>
      </c>
      <c r="U30" s="258">
        <f t="shared" si="12"/>
        <v>184046.514</v>
      </c>
      <c r="V30" s="493">
        <f t="shared" si="18"/>
        <v>1</v>
      </c>
    </row>
    <row r="31" spans="1:22" s="227" customFormat="1" ht="15" thickBot="1">
      <c r="A31" s="665" t="s">
        <v>10</v>
      </c>
      <c r="B31" s="665"/>
      <c r="C31" s="252">
        <f>SUM(C7:C30)</f>
        <v>4486360.5608888613</v>
      </c>
      <c r="D31" s="343">
        <f>SUM(D7:D30)</f>
        <v>0.99999999999999978</v>
      </c>
      <c r="E31" s="666" t="s">
        <v>472</v>
      </c>
      <c r="F31" s="667"/>
      <c r="G31" s="668" t="s">
        <v>473</v>
      </c>
      <c r="H31" s="668"/>
      <c r="I31" s="668" t="s">
        <v>474</v>
      </c>
      <c r="J31" s="668"/>
      <c r="K31" s="668" t="s">
        <v>475</v>
      </c>
      <c r="L31" s="668"/>
      <c r="M31" s="668" t="s">
        <v>2459</v>
      </c>
      <c r="N31" s="668"/>
      <c r="O31" s="668" t="s">
        <v>2460</v>
      </c>
      <c r="P31" s="668"/>
      <c r="Q31" s="668" t="s">
        <v>2463</v>
      </c>
      <c r="R31" s="668"/>
      <c r="S31" s="668" t="s">
        <v>2464</v>
      </c>
      <c r="T31" s="668"/>
      <c r="U31" s="668" t="s">
        <v>480</v>
      </c>
      <c r="V31" s="668"/>
    </row>
    <row r="32" spans="1:22" s="190" customFormat="1" ht="15" thickBot="1">
      <c r="A32" s="657" t="s">
        <v>481</v>
      </c>
      <c r="B32" s="657"/>
      <c r="C32" s="657"/>
      <c r="D32" s="657"/>
      <c r="E32" s="228">
        <f>SUM(E7:E30)</f>
        <v>725576.19245803903</v>
      </c>
      <c r="F32" s="229">
        <f>ROUND(E32/C31,4)</f>
        <v>0.16170000000000001</v>
      </c>
      <c r="G32" s="228">
        <f>SUM(G7:G30)</f>
        <v>525647.94490814721</v>
      </c>
      <c r="H32" s="341">
        <f>ROUND(G32/$C$31,4)</f>
        <v>0.1172</v>
      </c>
      <c r="I32" s="228">
        <f>SUM(I7:I30)</f>
        <v>575339.11199999996</v>
      </c>
      <c r="J32" s="341">
        <f>ROUND(I32/$C$31,4)</f>
        <v>0.12820000000000001</v>
      </c>
      <c r="K32" s="228">
        <f>SUM(K7:K30)</f>
        <v>684008.52799999993</v>
      </c>
      <c r="L32" s="341">
        <f>ROUND(K32/$C$31,4)</f>
        <v>0.1525</v>
      </c>
      <c r="M32" s="228">
        <f>SUM(M7:M30)</f>
        <v>639028.61400000006</v>
      </c>
      <c r="N32" s="491">
        <f>ROUND(M32/$C$31,4)</f>
        <v>0.1424</v>
      </c>
      <c r="O32" s="228">
        <f>SUM(O7:O30)</f>
        <v>478363.09100000001</v>
      </c>
      <c r="P32" s="491">
        <f>ROUND(O32/$C$31,4)</f>
        <v>0.1066</v>
      </c>
      <c r="Q32" s="228">
        <f>SUM(Q7:Q30)</f>
        <v>412294.22200000001</v>
      </c>
      <c r="R32" s="512">
        <f>ROUND(Q32/$C$31,4)</f>
        <v>9.1899999999999996E-2</v>
      </c>
      <c r="S32" s="228">
        <f>SUM(S7:S30)</f>
        <v>446102.85800000001</v>
      </c>
      <c r="T32" s="512">
        <f>ROUND(S32/$C$31,4)</f>
        <v>9.9400000000000002E-2</v>
      </c>
      <c r="U32" s="658">
        <f>SUM(U7:U30)</f>
        <v>4486360.5623661866</v>
      </c>
      <c r="V32" s="660">
        <f>ROUND(U32/$C$31,2)</f>
        <v>1</v>
      </c>
    </row>
    <row r="33" spans="1:22" s="190" customFormat="1" ht="15" thickBot="1">
      <c r="A33" s="662" t="s">
        <v>482</v>
      </c>
      <c r="B33" s="662"/>
      <c r="C33" s="662"/>
      <c r="D33" s="662"/>
      <c r="E33" s="230">
        <f>E32</f>
        <v>725576.19245803903</v>
      </c>
      <c r="F33" s="231">
        <f>F32</f>
        <v>0.16170000000000001</v>
      </c>
      <c r="G33" s="232">
        <f>E33+G32</f>
        <v>1251224.1373661864</v>
      </c>
      <c r="H33" s="341">
        <f>ROUND(G33/$C$31,4)</f>
        <v>0.27889999999999998</v>
      </c>
      <c r="I33" s="232">
        <f>G33+I32</f>
        <v>1826563.2493661863</v>
      </c>
      <c r="J33" s="341">
        <f>ROUND(I33/$C$31,4)</f>
        <v>0.40710000000000002</v>
      </c>
      <c r="K33" s="232">
        <f>I33+K32</f>
        <v>2510571.7773661865</v>
      </c>
      <c r="L33" s="341">
        <f>ROUND(K33/$C$31,4)</f>
        <v>0.55959999999999999</v>
      </c>
      <c r="M33" s="232">
        <f>K33+M32</f>
        <v>3149600.3913661866</v>
      </c>
      <c r="N33" s="491">
        <f>ROUND(M33/$C$31,4)</f>
        <v>0.70199999999999996</v>
      </c>
      <c r="O33" s="232">
        <f>M33+O32</f>
        <v>3627963.4823661866</v>
      </c>
      <c r="P33" s="491">
        <f>ROUND(O33/$C$31,4)</f>
        <v>0.80869999999999997</v>
      </c>
      <c r="Q33" s="232">
        <f>O33+Q32</f>
        <v>4040257.7043661866</v>
      </c>
      <c r="R33" s="512">
        <f>ROUND(Q33/$C$31,4)</f>
        <v>0.90059999999999996</v>
      </c>
      <c r="S33" s="232">
        <f>Q33+S32</f>
        <v>4486360.5623661866</v>
      </c>
      <c r="T33" s="512">
        <f>ROUND(S33/$C$31,4)</f>
        <v>1</v>
      </c>
      <c r="U33" s="659"/>
      <c r="V33" s="661"/>
    </row>
    <row r="34" spans="1:22">
      <c r="V34" s="233"/>
    </row>
  </sheetData>
  <mergeCells count="31">
    <mergeCell ref="O31:P31"/>
    <mergeCell ref="A1:V1"/>
    <mergeCell ref="A2:V2"/>
    <mergeCell ref="A3:V3"/>
    <mergeCell ref="A5:A6"/>
    <mergeCell ref="B5:B6"/>
    <mergeCell ref="C5:C6"/>
    <mergeCell ref="D5:D6"/>
    <mergeCell ref="E5:F5"/>
    <mergeCell ref="M5:N5"/>
    <mergeCell ref="O5:P5"/>
    <mergeCell ref="Q5:R5"/>
    <mergeCell ref="Q31:R31"/>
    <mergeCell ref="S5:T5"/>
    <mergeCell ref="S31:T31"/>
    <mergeCell ref="A32:D32"/>
    <mergeCell ref="U32:U33"/>
    <mergeCell ref="V32:V33"/>
    <mergeCell ref="A33:D33"/>
    <mergeCell ref="A4:V4"/>
    <mergeCell ref="G5:H5"/>
    <mergeCell ref="I5:J5"/>
    <mergeCell ref="K5:L5"/>
    <mergeCell ref="U5:V5"/>
    <mergeCell ref="A31:B31"/>
    <mergeCell ref="E31:F31"/>
    <mergeCell ref="G31:H31"/>
    <mergeCell ref="I31:J31"/>
    <mergeCell ref="K31:L31"/>
    <mergeCell ref="U31:V31"/>
    <mergeCell ref="M31:N31"/>
  </mergeCells>
  <pageMargins left="0.2" right="0.2" top="1.72" bottom="0.74803149606299213" header="0.31496062992125984" footer="0.31496062992125984"/>
  <pageSetup paperSize="9" scale="4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Normal="100" workbookViewId="0">
      <selection sqref="A1:C3"/>
    </sheetView>
  </sheetViews>
  <sheetFormatPr defaultRowHeight="14.4"/>
  <cols>
    <col min="1" max="1" width="10.5546875" style="85" customWidth="1"/>
    <col min="2" max="2" width="36.6640625" style="85" bestFit="1" customWidth="1"/>
    <col min="3" max="3" width="11.109375" style="85" customWidth="1"/>
    <col min="4" max="4" width="27.109375" style="85" customWidth="1"/>
    <col min="5" max="5" width="17" style="85" customWidth="1"/>
    <col min="6" max="6" width="10.44140625" style="85" bestFit="1" customWidth="1"/>
    <col min="7" max="7" width="20.44140625" style="85" customWidth="1"/>
    <col min="8" max="255" width="9.109375" style="85"/>
    <col min="256" max="256" width="10.5546875" style="85" customWidth="1"/>
    <col min="257" max="257" width="28.5546875" style="85" customWidth="1"/>
    <col min="258" max="258" width="11.109375" style="85" customWidth="1"/>
    <col min="259" max="259" width="27.109375" style="85" customWidth="1"/>
    <col min="260" max="260" width="29.44140625" style="85" bestFit="1" customWidth="1"/>
    <col min="261" max="261" width="17" style="85" customWidth="1"/>
    <col min="262" max="262" width="10.44140625" style="85" bestFit="1" customWidth="1"/>
    <col min="263" max="263" width="20.44140625" style="85" customWidth="1"/>
    <col min="264" max="511" width="9.109375" style="85"/>
    <col min="512" max="512" width="10.5546875" style="85" customWidth="1"/>
    <col min="513" max="513" width="28.5546875" style="85" customWidth="1"/>
    <col min="514" max="514" width="11.109375" style="85" customWidth="1"/>
    <col min="515" max="515" width="27.109375" style="85" customWidth="1"/>
    <col min="516" max="516" width="29.44140625" style="85" bestFit="1" customWidth="1"/>
    <col min="517" max="517" width="17" style="85" customWidth="1"/>
    <col min="518" max="518" width="10.44140625" style="85" bestFit="1" customWidth="1"/>
    <col min="519" max="519" width="20.44140625" style="85" customWidth="1"/>
    <col min="520" max="767" width="9.109375" style="85"/>
    <col min="768" max="768" width="10.5546875" style="85" customWidth="1"/>
    <col min="769" max="769" width="28.5546875" style="85" customWidth="1"/>
    <col min="770" max="770" width="11.109375" style="85" customWidth="1"/>
    <col min="771" max="771" width="27.109375" style="85" customWidth="1"/>
    <col min="772" max="772" width="29.44140625" style="85" bestFit="1" customWidth="1"/>
    <col min="773" max="773" width="17" style="85" customWidth="1"/>
    <col min="774" max="774" width="10.44140625" style="85" bestFit="1" customWidth="1"/>
    <col min="775" max="775" width="20.44140625" style="85" customWidth="1"/>
    <col min="776" max="1023" width="9.109375" style="85"/>
    <col min="1024" max="1024" width="10.5546875" style="85" customWidth="1"/>
    <col min="1025" max="1025" width="28.5546875" style="85" customWidth="1"/>
    <col min="1026" max="1026" width="11.109375" style="85" customWidth="1"/>
    <col min="1027" max="1027" width="27.109375" style="85" customWidth="1"/>
    <col min="1028" max="1028" width="29.44140625" style="85" bestFit="1" customWidth="1"/>
    <col min="1029" max="1029" width="17" style="85" customWidth="1"/>
    <col min="1030" max="1030" width="10.44140625" style="85" bestFit="1" customWidth="1"/>
    <col min="1031" max="1031" width="20.44140625" style="85" customWidth="1"/>
    <col min="1032" max="1279" width="9.109375" style="85"/>
    <col min="1280" max="1280" width="10.5546875" style="85" customWidth="1"/>
    <col min="1281" max="1281" width="28.5546875" style="85" customWidth="1"/>
    <col min="1282" max="1282" width="11.109375" style="85" customWidth="1"/>
    <col min="1283" max="1283" width="27.109375" style="85" customWidth="1"/>
    <col min="1284" max="1284" width="29.44140625" style="85" bestFit="1" customWidth="1"/>
    <col min="1285" max="1285" width="17" style="85" customWidth="1"/>
    <col min="1286" max="1286" width="10.44140625" style="85" bestFit="1" customWidth="1"/>
    <col min="1287" max="1287" width="20.44140625" style="85" customWidth="1"/>
    <col min="1288" max="1535" width="9.109375" style="85"/>
    <col min="1536" max="1536" width="10.5546875" style="85" customWidth="1"/>
    <col min="1537" max="1537" width="28.5546875" style="85" customWidth="1"/>
    <col min="1538" max="1538" width="11.109375" style="85" customWidth="1"/>
    <col min="1539" max="1539" width="27.109375" style="85" customWidth="1"/>
    <col min="1540" max="1540" width="29.44140625" style="85" bestFit="1" customWidth="1"/>
    <col min="1541" max="1541" width="17" style="85" customWidth="1"/>
    <col min="1542" max="1542" width="10.44140625" style="85" bestFit="1" customWidth="1"/>
    <col min="1543" max="1543" width="20.44140625" style="85" customWidth="1"/>
    <col min="1544" max="1791" width="9.109375" style="85"/>
    <col min="1792" max="1792" width="10.5546875" style="85" customWidth="1"/>
    <col min="1793" max="1793" width="28.5546875" style="85" customWidth="1"/>
    <col min="1794" max="1794" width="11.109375" style="85" customWidth="1"/>
    <col min="1795" max="1795" width="27.109375" style="85" customWidth="1"/>
    <col min="1796" max="1796" width="29.44140625" style="85" bestFit="1" customWidth="1"/>
    <col min="1797" max="1797" width="17" style="85" customWidth="1"/>
    <col min="1798" max="1798" width="10.44140625" style="85" bestFit="1" customWidth="1"/>
    <col min="1799" max="1799" width="20.44140625" style="85" customWidth="1"/>
    <col min="1800" max="2047" width="9.109375" style="85"/>
    <col min="2048" max="2048" width="10.5546875" style="85" customWidth="1"/>
    <col min="2049" max="2049" width="28.5546875" style="85" customWidth="1"/>
    <col min="2050" max="2050" width="11.109375" style="85" customWidth="1"/>
    <col min="2051" max="2051" width="27.109375" style="85" customWidth="1"/>
    <col min="2052" max="2052" width="29.44140625" style="85" bestFit="1" customWidth="1"/>
    <col min="2053" max="2053" width="17" style="85" customWidth="1"/>
    <col min="2054" max="2054" width="10.44140625" style="85" bestFit="1" customWidth="1"/>
    <col min="2055" max="2055" width="20.44140625" style="85" customWidth="1"/>
    <col min="2056" max="2303" width="9.109375" style="85"/>
    <col min="2304" max="2304" width="10.5546875" style="85" customWidth="1"/>
    <col min="2305" max="2305" width="28.5546875" style="85" customWidth="1"/>
    <col min="2306" max="2306" width="11.109375" style="85" customWidth="1"/>
    <col min="2307" max="2307" width="27.109375" style="85" customWidth="1"/>
    <col min="2308" max="2308" width="29.44140625" style="85" bestFit="1" customWidth="1"/>
    <col min="2309" max="2309" width="17" style="85" customWidth="1"/>
    <col min="2310" max="2310" width="10.44140625" style="85" bestFit="1" customWidth="1"/>
    <col min="2311" max="2311" width="20.44140625" style="85" customWidth="1"/>
    <col min="2312" max="2559" width="9.109375" style="85"/>
    <col min="2560" max="2560" width="10.5546875" style="85" customWidth="1"/>
    <col min="2561" max="2561" width="28.5546875" style="85" customWidth="1"/>
    <col min="2562" max="2562" width="11.109375" style="85" customWidth="1"/>
    <col min="2563" max="2563" width="27.109375" style="85" customWidth="1"/>
    <col min="2564" max="2564" width="29.44140625" style="85" bestFit="1" customWidth="1"/>
    <col min="2565" max="2565" width="17" style="85" customWidth="1"/>
    <col min="2566" max="2566" width="10.44140625" style="85" bestFit="1" customWidth="1"/>
    <col min="2567" max="2567" width="20.44140625" style="85" customWidth="1"/>
    <col min="2568" max="2815" width="9.109375" style="85"/>
    <col min="2816" max="2816" width="10.5546875" style="85" customWidth="1"/>
    <col min="2817" max="2817" width="28.5546875" style="85" customWidth="1"/>
    <col min="2818" max="2818" width="11.109375" style="85" customWidth="1"/>
    <col min="2819" max="2819" width="27.109375" style="85" customWidth="1"/>
    <col min="2820" max="2820" width="29.44140625" style="85" bestFit="1" customWidth="1"/>
    <col min="2821" max="2821" width="17" style="85" customWidth="1"/>
    <col min="2822" max="2822" width="10.44140625" style="85" bestFit="1" customWidth="1"/>
    <col min="2823" max="2823" width="20.44140625" style="85" customWidth="1"/>
    <col min="2824" max="3071" width="9.109375" style="85"/>
    <col min="3072" max="3072" width="10.5546875" style="85" customWidth="1"/>
    <col min="3073" max="3073" width="28.5546875" style="85" customWidth="1"/>
    <col min="3074" max="3074" width="11.109375" style="85" customWidth="1"/>
    <col min="3075" max="3075" width="27.109375" style="85" customWidth="1"/>
    <col min="3076" max="3076" width="29.44140625" style="85" bestFit="1" customWidth="1"/>
    <col min="3077" max="3077" width="17" style="85" customWidth="1"/>
    <col min="3078" max="3078" width="10.44140625" style="85" bestFit="1" customWidth="1"/>
    <col min="3079" max="3079" width="20.44140625" style="85" customWidth="1"/>
    <col min="3080" max="3327" width="9.109375" style="85"/>
    <col min="3328" max="3328" width="10.5546875" style="85" customWidth="1"/>
    <col min="3329" max="3329" width="28.5546875" style="85" customWidth="1"/>
    <col min="3330" max="3330" width="11.109375" style="85" customWidth="1"/>
    <col min="3331" max="3331" width="27.109375" style="85" customWidth="1"/>
    <col min="3332" max="3332" width="29.44140625" style="85" bestFit="1" customWidth="1"/>
    <col min="3333" max="3333" width="17" style="85" customWidth="1"/>
    <col min="3334" max="3334" width="10.44140625" style="85" bestFit="1" customWidth="1"/>
    <col min="3335" max="3335" width="20.44140625" style="85" customWidth="1"/>
    <col min="3336" max="3583" width="9.109375" style="85"/>
    <col min="3584" max="3584" width="10.5546875" style="85" customWidth="1"/>
    <col min="3585" max="3585" width="28.5546875" style="85" customWidth="1"/>
    <col min="3586" max="3586" width="11.109375" style="85" customWidth="1"/>
    <col min="3587" max="3587" width="27.109375" style="85" customWidth="1"/>
    <col min="3588" max="3588" width="29.44140625" style="85" bestFit="1" customWidth="1"/>
    <col min="3589" max="3589" width="17" style="85" customWidth="1"/>
    <col min="3590" max="3590" width="10.44140625" style="85" bestFit="1" customWidth="1"/>
    <col min="3591" max="3591" width="20.44140625" style="85" customWidth="1"/>
    <col min="3592" max="3839" width="9.109375" style="85"/>
    <col min="3840" max="3840" width="10.5546875" style="85" customWidth="1"/>
    <col min="3841" max="3841" width="28.5546875" style="85" customWidth="1"/>
    <col min="3842" max="3842" width="11.109375" style="85" customWidth="1"/>
    <col min="3843" max="3843" width="27.109375" style="85" customWidth="1"/>
    <col min="3844" max="3844" width="29.44140625" style="85" bestFit="1" customWidth="1"/>
    <col min="3845" max="3845" width="17" style="85" customWidth="1"/>
    <col min="3846" max="3846" width="10.44140625" style="85" bestFit="1" customWidth="1"/>
    <col min="3847" max="3847" width="20.44140625" style="85" customWidth="1"/>
    <col min="3848" max="4095" width="9.109375" style="85"/>
    <col min="4096" max="4096" width="10.5546875" style="85" customWidth="1"/>
    <col min="4097" max="4097" width="28.5546875" style="85" customWidth="1"/>
    <col min="4098" max="4098" width="11.109375" style="85" customWidth="1"/>
    <col min="4099" max="4099" width="27.109375" style="85" customWidth="1"/>
    <col min="4100" max="4100" width="29.44140625" style="85" bestFit="1" customWidth="1"/>
    <col min="4101" max="4101" width="17" style="85" customWidth="1"/>
    <col min="4102" max="4102" width="10.44140625" style="85" bestFit="1" customWidth="1"/>
    <col min="4103" max="4103" width="20.44140625" style="85" customWidth="1"/>
    <col min="4104" max="4351" width="9.109375" style="85"/>
    <col min="4352" max="4352" width="10.5546875" style="85" customWidth="1"/>
    <col min="4353" max="4353" width="28.5546875" style="85" customWidth="1"/>
    <col min="4354" max="4354" width="11.109375" style="85" customWidth="1"/>
    <col min="4355" max="4355" width="27.109375" style="85" customWidth="1"/>
    <col min="4356" max="4356" width="29.44140625" style="85" bestFit="1" customWidth="1"/>
    <col min="4357" max="4357" width="17" style="85" customWidth="1"/>
    <col min="4358" max="4358" width="10.44140625" style="85" bestFit="1" customWidth="1"/>
    <col min="4359" max="4359" width="20.44140625" style="85" customWidth="1"/>
    <col min="4360" max="4607" width="9.109375" style="85"/>
    <col min="4608" max="4608" width="10.5546875" style="85" customWidth="1"/>
    <col min="4609" max="4609" width="28.5546875" style="85" customWidth="1"/>
    <col min="4610" max="4610" width="11.109375" style="85" customWidth="1"/>
    <col min="4611" max="4611" width="27.109375" style="85" customWidth="1"/>
    <col min="4612" max="4612" width="29.44140625" style="85" bestFit="1" customWidth="1"/>
    <col min="4613" max="4613" width="17" style="85" customWidth="1"/>
    <col min="4614" max="4614" width="10.44140625" style="85" bestFit="1" customWidth="1"/>
    <col min="4615" max="4615" width="20.44140625" style="85" customWidth="1"/>
    <col min="4616" max="4863" width="9.109375" style="85"/>
    <col min="4864" max="4864" width="10.5546875" style="85" customWidth="1"/>
    <col min="4865" max="4865" width="28.5546875" style="85" customWidth="1"/>
    <col min="4866" max="4866" width="11.109375" style="85" customWidth="1"/>
    <col min="4867" max="4867" width="27.109375" style="85" customWidth="1"/>
    <col min="4868" max="4868" width="29.44140625" style="85" bestFit="1" customWidth="1"/>
    <col min="4869" max="4869" width="17" style="85" customWidth="1"/>
    <col min="4870" max="4870" width="10.44140625" style="85" bestFit="1" customWidth="1"/>
    <col min="4871" max="4871" width="20.44140625" style="85" customWidth="1"/>
    <col min="4872" max="5119" width="9.109375" style="85"/>
    <col min="5120" max="5120" width="10.5546875" style="85" customWidth="1"/>
    <col min="5121" max="5121" width="28.5546875" style="85" customWidth="1"/>
    <col min="5122" max="5122" width="11.109375" style="85" customWidth="1"/>
    <col min="5123" max="5123" width="27.109375" style="85" customWidth="1"/>
    <col min="5124" max="5124" width="29.44140625" style="85" bestFit="1" customWidth="1"/>
    <col min="5125" max="5125" width="17" style="85" customWidth="1"/>
    <col min="5126" max="5126" width="10.44140625" style="85" bestFit="1" customWidth="1"/>
    <col min="5127" max="5127" width="20.44140625" style="85" customWidth="1"/>
    <col min="5128" max="5375" width="9.109375" style="85"/>
    <col min="5376" max="5376" width="10.5546875" style="85" customWidth="1"/>
    <col min="5377" max="5377" width="28.5546875" style="85" customWidth="1"/>
    <col min="5378" max="5378" width="11.109375" style="85" customWidth="1"/>
    <col min="5379" max="5379" width="27.109375" style="85" customWidth="1"/>
    <col min="5380" max="5380" width="29.44140625" style="85" bestFit="1" customWidth="1"/>
    <col min="5381" max="5381" width="17" style="85" customWidth="1"/>
    <col min="5382" max="5382" width="10.44140625" style="85" bestFit="1" customWidth="1"/>
    <col min="5383" max="5383" width="20.44140625" style="85" customWidth="1"/>
    <col min="5384" max="5631" width="9.109375" style="85"/>
    <col min="5632" max="5632" width="10.5546875" style="85" customWidth="1"/>
    <col min="5633" max="5633" width="28.5546875" style="85" customWidth="1"/>
    <col min="5634" max="5634" width="11.109375" style="85" customWidth="1"/>
    <col min="5635" max="5635" width="27.109375" style="85" customWidth="1"/>
    <col min="5636" max="5636" width="29.44140625" style="85" bestFit="1" customWidth="1"/>
    <col min="5637" max="5637" width="17" style="85" customWidth="1"/>
    <col min="5638" max="5638" width="10.44140625" style="85" bestFit="1" customWidth="1"/>
    <col min="5639" max="5639" width="20.44140625" style="85" customWidth="1"/>
    <col min="5640" max="5887" width="9.109375" style="85"/>
    <col min="5888" max="5888" width="10.5546875" style="85" customWidth="1"/>
    <col min="5889" max="5889" width="28.5546875" style="85" customWidth="1"/>
    <col min="5890" max="5890" width="11.109375" style="85" customWidth="1"/>
    <col min="5891" max="5891" width="27.109375" style="85" customWidth="1"/>
    <col min="5892" max="5892" width="29.44140625" style="85" bestFit="1" customWidth="1"/>
    <col min="5893" max="5893" width="17" style="85" customWidth="1"/>
    <col min="5894" max="5894" width="10.44140625" style="85" bestFit="1" customWidth="1"/>
    <col min="5895" max="5895" width="20.44140625" style="85" customWidth="1"/>
    <col min="5896" max="6143" width="9.109375" style="85"/>
    <col min="6144" max="6144" width="10.5546875" style="85" customWidth="1"/>
    <col min="6145" max="6145" width="28.5546875" style="85" customWidth="1"/>
    <col min="6146" max="6146" width="11.109375" style="85" customWidth="1"/>
    <col min="6147" max="6147" width="27.109375" style="85" customWidth="1"/>
    <col min="6148" max="6148" width="29.44140625" style="85" bestFit="1" customWidth="1"/>
    <col min="6149" max="6149" width="17" style="85" customWidth="1"/>
    <col min="6150" max="6150" width="10.44140625" style="85" bestFit="1" customWidth="1"/>
    <col min="6151" max="6151" width="20.44140625" style="85" customWidth="1"/>
    <col min="6152" max="6399" width="9.109375" style="85"/>
    <col min="6400" max="6400" width="10.5546875" style="85" customWidth="1"/>
    <col min="6401" max="6401" width="28.5546875" style="85" customWidth="1"/>
    <col min="6402" max="6402" width="11.109375" style="85" customWidth="1"/>
    <col min="6403" max="6403" width="27.109375" style="85" customWidth="1"/>
    <col min="6404" max="6404" width="29.44140625" style="85" bestFit="1" customWidth="1"/>
    <col min="6405" max="6405" width="17" style="85" customWidth="1"/>
    <col min="6406" max="6406" width="10.44140625" style="85" bestFit="1" customWidth="1"/>
    <col min="6407" max="6407" width="20.44140625" style="85" customWidth="1"/>
    <col min="6408" max="6655" width="9.109375" style="85"/>
    <col min="6656" max="6656" width="10.5546875" style="85" customWidth="1"/>
    <col min="6657" max="6657" width="28.5546875" style="85" customWidth="1"/>
    <col min="6658" max="6658" width="11.109375" style="85" customWidth="1"/>
    <col min="6659" max="6659" width="27.109375" style="85" customWidth="1"/>
    <col min="6660" max="6660" width="29.44140625" style="85" bestFit="1" customWidth="1"/>
    <col min="6661" max="6661" width="17" style="85" customWidth="1"/>
    <col min="6662" max="6662" width="10.44140625" style="85" bestFit="1" customWidth="1"/>
    <col min="6663" max="6663" width="20.44140625" style="85" customWidth="1"/>
    <col min="6664" max="6911" width="9.109375" style="85"/>
    <col min="6912" max="6912" width="10.5546875" style="85" customWidth="1"/>
    <col min="6913" max="6913" width="28.5546875" style="85" customWidth="1"/>
    <col min="6914" max="6914" width="11.109375" style="85" customWidth="1"/>
    <col min="6915" max="6915" width="27.109375" style="85" customWidth="1"/>
    <col min="6916" max="6916" width="29.44140625" style="85" bestFit="1" customWidth="1"/>
    <col min="6917" max="6917" width="17" style="85" customWidth="1"/>
    <col min="6918" max="6918" width="10.44140625" style="85" bestFit="1" customWidth="1"/>
    <col min="6919" max="6919" width="20.44140625" style="85" customWidth="1"/>
    <col min="6920" max="7167" width="9.109375" style="85"/>
    <col min="7168" max="7168" width="10.5546875" style="85" customWidth="1"/>
    <col min="7169" max="7169" width="28.5546875" style="85" customWidth="1"/>
    <col min="7170" max="7170" width="11.109375" style="85" customWidth="1"/>
    <col min="7171" max="7171" width="27.109375" style="85" customWidth="1"/>
    <col min="7172" max="7172" width="29.44140625" style="85" bestFit="1" customWidth="1"/>
    <col min="7173" max="7173" width="17" style="85" customWidth="1"/>
    <col min="7174" max="7174" width="10.44140625" style="85" bestFit="1" customWidth="1"/>
    <col min="7175" max="7175" width="20.44140625" style="85" customWidth="1"/>
    <col min="7176" max="7423" width="9.109375" style="85"/>
    <col min="7424" max="7424" width="10.5546875" style="85" customWidth="1"/>
    <col min="7425" max="7425" width="28.5546875" style="85" customWidth="1"/>
    <col min="7426" max="7426" width="11.109375" style="85" customWidth="1"/>
    <col min="7427" max="7427" width="27.109375" style="85" customWidth="1"/>
    <col min="7428" max="7428" width="29.44140625" style="85" bestFit="1" customWidth="1"/>
    <col min="7429" max="7429" width="17" style="85" customWidth="1"/>
    <col min="7430" max="7430" width="10.44140625" style="85" bestFit="1" customWidth="1"/>
    <col min="7431" max="7431" width="20.44140625" style="85" customWidth="1"/>
    <col min="7432" max="7679" width="9.109375" style="85"/>
    <col min="7680" max="7680" width="10.5546875" style="85" customWidth="1"/>
    <col min="7681" max="7681" width="28.5546875" style="85" customWidth="1"/>
    <col min="7682" max="7682" width="11.109375" style="85" customWidth="1"/>
    <col min="7683" max="7683" width="27.109375" style="85" customWidth="1"/>
    <col min="7684" max="7684" width="29.44140625" style="85" bestFit="1" customWidth="1"/>
    <col min="7685" max="7685" width="17" style="85" customWidth="1"/>
    <col min="7686" max="7686" width="10.44140625" style="85" bestFit="1" customWidth="1"/>
    <col min="7687" max="7687" width="20.44140625" style="85" customWidth="1"/>
    <col min="7688" max="7935" width="9.109375" style="85"/>
    <col min="7936" max="7936" width="10.5546875" style="85" customWidth="1"/>
    <col min="7937" max="7937" width="28.5546875" style="85" customWidth="1"/>
    <col min="7938" max="7938" width="11.109375" style="85" customWidth="1"/>
    <col min="7939" max="7939" width="27.109375" style="85" customWidth="1"/>
    <col min="7940" max="7940" width="29.44140625" style="85" bestFit="1" customWidth="1"/>
    <col min="7941" max="7941" width="17" style="85" customWidth="1"/>
    <col min="7942" max="7942" width="10.44140625" style="85" bestFit="1" customWidth="1"/>
    <col min="7943" max="7943" width="20.44140625" style="85" customWidth="1"/>
    <col min="7944" max="8191" width="9.109375" style="85"/>
    <col min="8192" max="8192" width="10.5546875" style="85" customWidth="1"/>
    <col min="8193" max="8193" width="28.5546875" style="85" customWidth="1"/>
    <col min="8194" max="8194" width="11.109375" style="85" customWidth="1"/>
    <col min="8195" max="8195" width="27.109375" style="85" customWidth="1"/>
    <col min="8196" max="8196" width="29.44140625" style="85" bestFit="1" customWidth="1"/>
    <col min="8197" max="8197" width="17" style="85" customWidth="1"/>
    <col min="8198" max="8198" width="10.44140625" style="85" bestFit="1" customWidth="1"/>
    <col min="8199" max="8199" width="20.44140625" style="85" customWidth="1"/>
    <col min="8200" max="8447" width="9.109375" style="85"/>
    <col min="8448" max="8448" width="10.5546875" style="85" customWidth="1"/>
    <col min="8449" max="8449" width="28.5546875" style="85" customWidth="1"/>
    <col min="8450" max="8450" width="11.109375" style="85" customWidth="1"/>
    <col min="8451" max="8451" width="27.109375" style="85" customWidth="1"/>
    <col min="8452" max="8452" width="29.44140625" style="85" bestFit="1" customWidth="1"/>
    <col min="8453" max="8453" width="17" style="85" customWidth="1"/>
    <col min="8454" max="8454" width="10.44140625" style="85" bestFit="1" customWidth="1"/>
    <col min="8455" max="8455" width="20.44140625" style="85" customWidth="1"/>
    <col min="8456" max="8703" width="9.109375" style="85"/>
    <col min="8704" max="8704" width="10.5546875" style="85" customWidth="1"/>
    <col min="8705" max="8705" width="28.5546875" style="85" customWidth="1"/>
    <col min="8706" max="8706" width="11.109375" style="85" customWidth="1"/>
    <col min="8707" max="8707" width="27.109375" style="85" customWidth="1"/>
    <col min="8708" max="8708" width="29.44140625" style="85" bestFit="1" customWidth="1"/>
    <col min="8709" max="8709" width="17" style="85" customWidth="1"/>
    <col min="8710" max="8710" width="10.44140625" style="85" bestFit="1" customWidth="1"/>
    <col min="8711" max="8711" width="20.44140625" style="85" customWidth="1"/>
    <col min="8712" max="8959" width="9.109375" style="85"/>
    <col min="8960" max="8960" width="10.5546875" style="85" customWidth="1"/>
    <col min="8961" max="8961" width="28.5546875" style="85" customWidth="1"/>
    <col min="8962" max="8962" width="11.109375" style="85" customWidth="1"/>
    <col min="8963" max="8963" width="27.109375" style="85" customWidth="1"/>
    <col min="8964" max="8964" width="29.44140625" style="85" bestFit="1" customWidth="1"/>
    <col min="8965" max="8965" width="17" style="85" customWidth="1"/>
    <col min="8966" max="8966" width="10.44140625" style="85" bestFit="1" customWidth="1"/>
    <col min="8967" max="8967" width="20.44140625" style="85" customWidth="1"/>
    <col min="8968" max="9215" width="9.109375" style="85"/>
    <col min="9216" max="9216" width="10.5546875" style="85" customWidth="1"/>
    <col min="9217" max="9217" width="28.5546875" style="85" customWidth="1"/>
    <col min="9218" max="9218" width="11.109375" style="85" customWidth="1"/>
    <col min="9219" max="9219" width="27.109375" style="85" customWidth="1"/>
    <col min="9220" max="9220" width="29.44140625" style="85" bestFit="1" customWidth="1"/>
    <col min="9221" max="9221" width="17" style="85" customWidth="1"/>
    <col min="9222" max="9222" width="10.44140625" style="85" bestFit="1" customWidth="1"/>
    <col min="9223" max="9223" width="20.44140625" style="85" customWidth="1"/>
    <col min="9224" max="9471" width="9.109375" style="85"/>
    <col min="9472" max="9472" width="10.5546875" style="85" customWidth="1"/>
    <col min="9473" max="9473" width="28.5546875" style="85" customWidth="1"/>
    <col min="9474" max="9474" width="11.109375" style="85" customWidth="1"/>
    <col min="9475" max="9475" width="27.109375" style="85" customWidth="1"/>
    <col min="9476" max="9476" width="29.44140625" style="85" bestFit="1" customWidth="1"/>
    <col min="9477" max="9477" width="17" style="85" customWidth="1"/>
    <col min="9478" max="9478" width="10.44140625" style="85" bestFit="1" customWidth="1"/>
    <col min="9479" max="9479" width="20.44140625" style="85" customWidth="1"/>
    <col min="9480" max="9727" width="9.109375" style="85"/>
    <col min="9728" max="9728" width="10.5546875" style="85" customWidth="1"/>
    <col min="9729" max="9729" width="28.5546875" style="85" customWidth="1"/>
    <col min="9730" max="9730" width="11.109375" style="85" customWidth="1"/>
    <col min="9731" max="9731" width="27.109375" style="85" customWidth="1"/>
    <col min="9732" max="9732" width="29.44140625" style="85" bestFit="1" customWidth="1"/>
    <col min="9733" max="9733" width="17" style="85" customWidth="1"/>
    <col min="9734" max="9734" width="10.44140625" style="85" bestFit="1" customWidth="1"/>
    <col min="9735" max="9735" width="20.44140625" style="85" customWidth="1"/>
    <col min="9736" max="9983" width="9.109375" style="85"/>
    <col min="9984" max="9984" width="10.5546875" style="85" customWidth="1"/>
    <col min="9985" max="9985" width="28.5546875" style="85" customWidth="1"/>
    <col min="9986" max="9986" width="11.109375" style="85" customWidth="1"/>
    <col min="9987" max="9987" width="27.109375" style="85" customWidth="1"/>
    <col min="9988" max="9988" width="29.44140625" style="85" bestFit="1" customWidth="1"/>
    <col min="9989" max="9989" width="17" style="85" customWidth="1"/>
    <col min="9990" max="9990" width="10.44140625" style="85" bestFit="1" customWidth="1"/>
    <col min="9991" max="9991" width="20.44140625" style="85" customWidth="1"/>
    <col min="9992" max="10239" width="9.109375" style="85"/>
    <col min="10240" max="10240" width="10.5546875" style="85" customWidth="1"/>
    <col min="10241" max="10241" width="28.5546875" style="85" customWidth="1"/>
    <col min="10242" max="10242" width="11.109375" style="85" customWidth="1"/>
    <col min="10243" max="10243" width="27.109375" style="85" customWidth="1"/>
    <col min="10244" max="10244" width="29.44140625" style="85" bestFit="1" customWidth="1"/>
    <col min="10245" max="10245" width="17" style="85" customWidth="1"/>
    <col min="10246" max="10246" width="10.44140625" style="85" bestFit="1" customWidth="1"/>
    <col min="10247" max="10247" width="20.44140625" style="85" customWidth="1"/>
    <col min="10248" max="10495" width="9.109375" style="85"/>
    <col min="10496" max="10496" width="10.5546875" style="85" customWidth="1"/>
    <col min="10497" max="10497" width="28.5546875" style="85" customWidth="1"/>
    <col min="10498" max="10498" width="11.109375" style="85" customWidth="1"/>
    <col min="10499" max="10499" width="27.109375" style="85" customWidth="1"/>
    <col min="10500" max="10500" width="29.44140625" style="85" bestFit="1" customWidth="1"/>
    <col min="10501" max="10501" width="17" style="85" customWidth="1"/>
    <col min="10502" max="10502" width="10.44140625" style="85" bestFit="1" customWidth="1"/>
    <col min="10503" max="10503" width="20.44140625" style="85" customWidth="1"/>
    <col min="10504" max="10751" width="9.109375" style="85"/>
    <col min="10752" max="10752" width="10.5546875" style="85" customWidth="1"/>
    <col min="10753" max="10753" width="28.5546875" style="85" customWidth="1"/>
    <col min="10754" max="10754" width="11.109375" style="85" customWidth="1"/>
    <col min="10755" max="10755" width="27.109375" style="85" customWidth="1"/>
    <col min="10756" max="10756" width="29.44140625" style="85" bestFit="1" customWidth="1"/>
    <col min="10757" max="10757" width="17" style="85" customWidth="1"/>
    <col min="10758" max="10758" width="10.44140625" style="85" bestFit="1" customWidth="1"/>
    <col min="10759" max="10759" width="20.44140625" style="85" customWidth="1"/>
    <col min="10760" max="11007" width="9.109375" style="85"/>
    <col min="11008" max="11008" width="10.5546875" style="85" customWidth="1"/>
    <col min="11009" max="11009" width="28.5546875" style="85" customWidth="1"/>
    <col min="11010" max="11010" width="11.109375" style="85" customWidth="1"/>
    <col min="11011" max="11011" width="27.109375" style="85" customWidth="1"/>
    <col min="11012" max="11012" width="29.44140625" style="85" bestFit="1" customWidth="1"/>
    <col min="11013" max="11013" width="17" style="85" customWidth="1"/>
    <col min="11014" max="11014" width="10.44140625" style="85" bestFit="1" customWidth="1"/>
    <col min="11015" max="11015" width="20.44140625" style="85" customWidth="1"/>
    <col min="11016" max="11263" width="9.109375" style="85"/>
    <col min="11264" max="11264" width="10.5546875" style="85" customWidth="1"/>
    <col min="11265" max="11265" width="28.5546875" style="85" customWidth="1"/>
    <col min="11266" max="11266" width="11.109375" style="85" customWidth="1"/>
    <col min="11267" max="11267" width="27.109375" style="85" customWidth="1"/>
    <col min="11268" max="11268" width="29.44140625" style="85" bestFit="1" customWidth="1"/>
    <col min="11269" max="11269" width="17" style="85" customWidth="1"/>
    <col min="11270" max="11270" width="10.44140625" style="85" bestFit="1" customWidth="1"/>
    <col min="11271" max="11271" width="20.44140625" style="85" customWidth="1"/>
    <col min="11272" max="11519" width="9.109375" style="85"/>
    <col min="11520" max="11520" width="10.5546875" style="85" customWidth="1"/>
    <col min="11521" max="11521" width="28.5546875" style="85" customWidth="1"/>
    <col min="11522" max="11522" width="11.109375" style="85" customWidth="1"/>
    <col min="11523" max="11523" width="27.109375" style="85" customWidth="1"/>
    <col min="11524" max="11524" width="29.44140625" style="85" bestFit="1" customWidth="1"/>
    <col min="11525" max="11525" width="17" style="85" customWidth="1"/>
    <col min="11526" max="11526" width="10.44140625" style="85" bestFit="1" customWidth="1"/>
    <col min="11527" max="11527" width="20.44140625" style="85" customWidth="1"/>
    <col min="11528" max="11775" width="9.109375" style="85"/>
    <col min="11776" max="11776" width="10.5546875" style="85" customWidth="1"/>
    <col min="11777" max="11777" width="28.5546875" style="85" customWidth="1"/>
    <col min="11778" max="11778" width="11.109375" style="85" customWidth="1"/>
    <col min="11779" max="11779" width="27.109375" style="85" customWidth="1"/>
    <col min="11780" max="11780" width="29.44140625" style="85" bestFit="1" customWidth="1"/>
    <col min="11781" max="11781" width="17" style="85" customWidth="1"/>
    <col min="11782" max="11782" width="10.44140625" style="85" bestFit="1" customWidth="1"/>
    <col min="11783" max="11783" width="20.44140625" style="85" customWidth="1"/>
    <col min="11784" max="12031" width="9.109375" style="85"/>
    <col min="12032" max="12032" width="10.5546875" style="85" customWidth="1"/>
    <col min="12033" max="12033" width="28.5546875" style="85" customWidth="1"/>
    <col min="12034" max="12034" width="11.109375" style="85" customWidth="1"/>
    <col min="12035" max="12035" width="27.109375" style="85" customWidth="1"/>
    <col min="12036" max="12036" width="29.44140625" style="85" bestFit="1" customWidth="1"/>
    <col min="12037" max="12037" width="17" style="85" customWidth="1"/>
    <col min="12038" max="12038" width="10.44140625" style="85" bestFit="1" customWidth="1"/>
    <col min="12039" max="12039" width="20.44140625" style="85" customWidth="1"/>
    <col min="12040" max="12287" width="9.109375" style="85"/>
    <col min="12288" max="12288" width="10.5546875" style="85" customWidth="1"/>
    <col min="12289" max="12289" width="28.5546875" style="85" customWidth="1"/>
    <col min="12290" max="12290" width="11.109375" style="85" customWidth="1"/>
    <col min="12291" max="12291" width="27.109375" style="85" customWidth="1"/>
    <col min="12292" max="12292" width="29.44140625" style="85" bestFit="1" customWidth="1"/>
    <col min="12293" max="12293" width="17" style="85" customWidth="1"/>
    <col min="12294" max="12294" width="10.44140625" style="85" bestFit="1" customWidth="1"/>
    <col min="12295" max="12295" width="20.44140625" style="85" customWidth="1"/>
    <col min="12296" max="12543" width="9.109375" style="85"/>
    <col min="12544" max="12544" width="10.5546875" style="85" customWidth="1"/>
    <col min="12545" max="12545" width="28.5546875" style="85" customWidth="1"/>
    <col min="12546" max="12546" width="11.109375" style="85" customWidth="1"/>
    <col min="12547" max="12547" width="27.109375" style="85" customWidth="1"/>
    <col min="12548" max="12548" width="29.44140625" style="85" bestFit="1" customWidth="1"/>
    <col min="12549" max="12549" width="17" style="85" customWidth="1"/>
    <col min="12550" max="12550" width="10.44140625" style="85" bestFit="1" customWidth="1"/>
    <col min="12551" max="12551" width="20.44140625" style="85" customWidth="1"/>
    <col min="12552" max="12799" width="9.109375" style="85"/>
    <col min="12800" max="12800" width="10.5546875" style="85" customWidth="1"/>
    <col min="12801" max="12801" width="28.5546875" style="85" customWidth="1"/>
    <col min="12802" max="12802" width="11.109375" style="85" customWidth="1"/>
    <col min="12803" max="12803" width="27.109375" style="85" customWidth="1"/>
    <col min="12804" max="12804" width="29.44140625" style="85" bestFit="1" customWidth="1"/>
    <col min="12805" max="12805" width="17" style="85" customWidth="1"/>
    <col min="12806" max="12806" width="10.44140625" style="85" bestFit="1" customWidth="1"/>
    <col min="12807" max="12807" width="20.44140625" style="85" customWidth="1"/>
    <col min="12808" max="13055" width="9.109375" style="85"/>
    <col min="13056" max="13056" width="10.5546875" style="85" customWidth="1"/>
    <col min="13057" max="13057" width="28.5546875" style="85" customWidth="1"/>
    <col min="13058" max="13058" width="11.109375" style="85" customWidth="1"/>
    <col min="13059" max="13059" width="27.109375" style="85" customWidth="1"/>
    <col min="13060" max="13060" width="29.44140625" style="85" bestFit="1" customWidth="1"/>
    <col min="13061" max="13061" width="17" style="85" customWidth="1"/>
    <col min="13062" max="13062" width="10.44140625" style="85" bestFit="1" customWidth="1"/>
    <col min="13063" max="13063" width="20.44140625" style="85" customWidth="1"/>
    <col min="13064" max="13311" width="9.109375" style="85"/>
    <col min="13312" max="13312" width="10.5546875" style="85" customWidth="1"/>
    <col min="13313" max="13313" width="28.5546875" style="85" customWidth="1"/>
    <col min="13314" max="13314" width="11.109375" style="85" customWidth="1"/>
    <col min="13315" max="13315" width="27.109375" style="85" customWidth="1"/>
    <col min="13316" max="13316" width="29.44140625" style="85" bestFit="1" customWidth="1"/>
    <col min="13317" max="13317" width="17" style="85" customWidth="1"/>
    <col min="13318" max="13318" width="10.44140625" style="85" bestFit="1" customWidth="1"/>
    <col min="13319" max="13319" width="20.44140625" style="85" customWidth="1"/>
    <col min="13320" max="13567" width="9.109375" style="85"/>
    <col min="13568" max="13568" width="10.5546875" style="85" customWidth="1"/>
    <col min="13569" max="13569" width="28.5546875" style="85" customWidth="1"/>
    <col min="13570" max="13570" width="11.109375" style="85" customWidth="1"/>
    <col min="13571" max="13571" width="27.109375" style="85" customWidth="1"/>
    <col min="13572" max="13572" width="29.44140625" style="85" bestFit="1" customWidth="1"/>
    <col min="13573" max="13573" width="17" style="85" customWidth="1"/>
    <col min="13574" max="13574" width="10.44140625" style="85" bestFit="1" customWidth="1"/>
    <col min="13575" max="13575" width="20.44140625" style="85" customWidth="1"/>
    <col min="13576" max="13823" width="9.109375" style="85"/>
    <col min="13824" max="13824" width="10.5546875" style="85" customWidth="1"/>
    <col min="13825" max="13825" width="28.5546875" style="85" customWidth="1"/>
    <col min="13826" max="13826" width="11.109375" style="85" customWidth="1"/>
    <col min="13827" max="13827" width="27.109375" style="85" customWidth="1"/>
    <col min="13828" max="13828" width="29.44140625" style="85" bestFit="1" customWidth="1"/>
    <col min="13829" max="13829" width="17" style="85" customWidth="1"/>
    <col min="13830" max="13830" width="10.44140625" style="85" bestFit="1" customWidth="1"/>
    <col min="13831" max="13831" width="20.44140625" style="85" customWidth="1"/>
    <col min="13832" max="14079" width="9.109375" style="85"/>
    <col min="14080" max="14080" width="10.5546875" style="85" customWidth="1"/>
    <col min="14081" max="14081" width="28.5546875" style="85" customWidth="1"/>
    <col min="14082" max="14082" width="11.109375" style="85" customWidth="1"/>
    <col min="14083" max="14083" width="27.109375" style="85" customWidth="1"/>
    <col min="14084" max="14084" width="29.44140625" style="85" bestFit="1" customWidth="1"/>
    <col min="14085" max="14085" width="17" style="85" customWidth="1"/>
    <col min="14086" max="14086" width="10.44140625" style="85" bestFit="1" customWidth="1"/>
    <col min="14087" max="14087" width="20.44140625" style="85" customWidth="1"/>
    <col min="14088" max="14335" width="9.109375" style="85"/>
    <col min="14336" max="14336" width="10.5546875" style="85" customWidth="1"/>
    <col min="14337" max="14337" width="28.5546875" style="85" customWidth="1"/>
    <col min="14338" max="14338" width="11.109375" style="85" customWidth="1"/>
    <col min="14339" max="14339" width="27.109375" style="85" customWidth="1"/>
    <col min="14340" max="14340" width="29.44140625" style="85" bestFit="1" customWidth="1"/>
    <col min="14341" max="14341" width="17" style="85" customWidth="1"/>
    <col min="14342" max="14342" width="10.44140625" style="85" bestFit="1" customWidth="1"/>
    <col min="14343" max="14343" width="20.44140625" style="85" customWidth="1"/>
    <col min="14344" max="14591" width="9.109375" style="85"/>
    <col min="14592" max="14592" width="10.5546875" style="85" customWidth="1"/>
    <col min="14593" max="14593" width="28.5546875" style="85" customWidth="1"/>
    <col min="14594" max="14594" width="11.109375" style="85" customWidth="1"/>
    <col min="14595" max="14595" width="27.109375" style="85" customWidth="1"/>
    <col min="14596" max="14596" width="29.44140625" style="85" bestFit="1" customWidth="1"/>
    <col min="14597" max="14597" width="17" style="85" customWidth="1"/>
    <col min="14598" max="14598" width="10.44140625" style="85" bestFit="1" customWidth="1"/>
    <col min="14599" max="14599" width="20.44140625" style="85" customWidth="1"/>
    <col min="14600" max="14847" width="9.109375" style="85"/>
    <col min="14848" max="14848" width="10.5546875" style="85" customWidth="1"/>
    <col min="14849" max="14849" width="28.5546875" style="85" customWidth="1"/>
    <col min="14850" max="14850" width="11.109375" style="85" customWidth="1"/>
    <col min="14851" max="14851" width="27.109375" style="85" customWidth="1"/>
    <col min="14852" max="14852" width="29.44140625" style="85" bestFit="1" customWidth="1"/>
    <col min="14853" max="14853" width="17" style="85" customWidth="1"/>
    <col min="14854" max="14854" width="10.44140625" style="85" bestFit="1" customWidth="1"/>
    <col min="14855" max="14855" width="20.44140625" style="85" customWidth="1"/>
    <col min="14856" max="15103" width="9.109375" style="85"/>
    <col min="15104" max="15104" width="10.5546875" style="85" customWidth="1"/>
    <col min="15105" max="15105" width="28.5546875" style="85" customWidth="1"/>
    <col min="15106" max="15106" width="11.109375" style="85" customWidth="1"/>
    <col min="15107" max="15107" width="27.109375" style="85" customWidth="1"/>
    <col min="15108" max="15108" width="29.44140625" style="85" bestFit="1" customWidth="1"/>
    <col min="15109" max="15109" width="17" style="85" customWidth="1"/>
    <col min="15110" max="15110" width="10.44140625" style="85" bestFit="1" customWidth="1"/>
    <col min="15111" max="15111" width="20.44140625" style="85" customWidth="1"/>
    <col min="15112" max="15359" width="9.109375" style="85"/>
    <col min="15360" max="15360" width="10.5546875" style="85" customWidth="1"/>
    <col min="15361" max="15361" width="28.5546875" style="85" customWidth="1"/>
    <col min="15362" max="15362" width="11.109375" style="85" customWidth="1"/>
    <col min="15363" max="15363" width="27.109375" style="85" customWidth="1"/>
    <col min="15364" max="15364" width="29.44140625" style="85" bestFit="1" customWidth="1"/>
    <col min="15365" max="15365" width="17" style="85" customWidth="1"/>
    <col min="15366" max="15366" width="10.44140625" style="85" bestFit="1" customWidth="1"/>
    <col min="15367" max="15367" width="20.44140625" style="85" customWidth="1"/>
    <col min="15368" max="15615" width="9.109375" style="85"/>
    <col min="15616" max="15616" width="10.5546875" style="85" customWidth="1"/>
    <col min="15617" max="15617" width="28.5546875" style="85" customWidth="1"/>
    <col min="15618" max="15618" width="11.109375" style="85" customWidth="1"/>
    <col min="15619" max="15619" width="27.109375" style="85" customWidth="1"/>
    <col min="15620" max="15620" width="29.44140625" style="85" bestFit="1" customWidth="1"/>
    <col min="15621" max="15621" width="17" style="85" customWidth="1"/>
    <col min="15622" max="15622" width="10.44140625" style="85" bestFit="1" customWidth="1"/>
    <col min="15623" max="15623" width="20.44140625" style="85" customWidth="1"/>
    <col min="15624" max="15871" width="9.109375" style="85"/>
    <col min="15872" max="15872" width="10.5546875" style="85" customWidth="1"/>
    <col min="15873" max="15873" width="28.5546875" style="85" customWidth="1"/>
    <col min="15874" max="15874" width="11.109375" style="85" customWidth="1"/>
    <col min="15875" max="15875" width="27.109375" style="85" customWidth="1"/>
    <col min="15876" max="15876" width="29.44140625" style="85" bestFit="1" customWidth="1"/>
    <col min="15877" max="15877" width="17" style="85" customWidth="1"/>
    <col min="15878" max="15878" width="10.44140625" style="85" bestFit="1" customWidth="1"/>
    <col min="15879" max="15879" width="20.44140625" style="85" customWidth="1"/>
    <col min="15880" max="16127" width="9.109375" style="85"/>
    <col min="16128" max="16128" width="10.5546875" style="85" customWidth="1"/>
    <col min="16129" max="16129" width="28.5546875" style="85" customWidth="1"/>
    <col min="16130" max="16130" width="11.109375" style="85" customWidth="1"/>
    <col min="16131" max="16131" width="27.109375" style="85" customWidth="1"/>
    <col min="16132" max="16132" width="29.44140625" style="85" bestFit="1" customWidth="1"/>
    <col min="16133" max="16133" width="17" style="85" customWidth="1"/>
    <col min="16134" max="16134" width="10.44140625" style="85" bestFit="1" customWidth="1"/>
    <col min="16135" max="16135" width="20.44140625" style="85" customWidth="1"/>
    <col min="16136" max="16384" width="9.109375" style="85"/>
  </cols>
  <sheetData>
    <row r="1" spans="1:8" ht="31.5" customHeight="1">
      <c r="A1" s="690"/>
      <c r="B1" s="691"/>
      <c r="C1" s="692"/>
      <c r="D1" s="699" t="str">
        <f>[3]RESUMO!$B$2</f>
        <v>PREFEITURA MUNICIPAL DE ORLÂNDIA</v>
      </c>
      <c r="E1" s="700"/>
      <c r="F1" s="701" t="s">
        <v>172</v>
      </c>
      <c r="G1" s="702"/>
    </row>
    <row r="2" spans="1:8" ht="15" customHeight="1">
      <c r="A2" s="693"/>
      <c r="B2" s="694"/>
      <c r="C2" s="695"/>
      <c r="D2" s="707" t="str">
        <f>[3]RESUMO!$C$6</f>
        <v>CLIMATIZAÇÃO ESCOLAS</v>
      </c>
      <c r="E2" s="708"/>
      <c r="F2" s="703"/>
      <c r="G2" s="704"/>
    </row>
    <row r="3" spans="1:8" ht="26.4" customHeight="1">
      <c r="A3" s="696"/>
      <c r="B3" s="697"/>
      <c r="C3" s="698"/>
      <c r="D3" s="709"/>
      <c r="E3" s="710"/>
      <c r="F3" s="705"/>
      <c r="G3" s="706"/>
    </row>
    <row r="4" spans="1:8" ht="14.4" customHeight="1">
      <c r="A4" s="86"/>
      <c r="B4" s="87"/>
      <c r="C4" s="87"/>
      <c r="D4" s="87"/>
      <c r="E4" s="88"/>
      <c r="F4" s="87"/>
      <c r="G4" s="89"/>
    </row>
    <row r="5" spans="1:8" ht="18" customHeight="1">
      <c r="A5" s="90" t="s">
        <v>76</v>
      </c>
      <c r="B5" s="679" t="str">
        <f>[3]RESUMO!C6</f>
        <v>CLIMATIZAÇÃO ESCOLAS</v>
      </c>
      <c r="C5" s="679"/>
      <c r="D5" s="679"/>
      <c r="E5" s="680" t="s">
        <v>1092</v>
      </c>
      <c r="F5" s="680"/>
      <c r="G5" s="681"/>
    </row>
    <row r="6" spans="1:8" ht="18" customHeight="1">
      <c r="A6" s="90" t="s">
        <v>173</v>
      </c>
      <c r="B6" s="679" t="str">
        <f>[3]RESUMO!B2</f>
        <v>PREFEITURA MUNICIPAL DE ORLÂNDIA</v>
      </c>
      <c r="C6" s="679"/>
      <c r="D6" s="679"/>
      <c r="E6" s="680"/>
      <c r="F6" s="680"/>
      <c r="G6" s="681"/>
      <c r="H6" s="91" t="s">
        <v>174</v>
      </c>
    </row>
    <row r="7" spans="1:8" ht="18" customHeight="1">
      <c r="A7" s="90" t="s">
        <v>78</v>
      </c>
      <c r="B7" s="679" t="str">
        <f>[3]RESUMO!C7</f>
        <v>PRAÇA CORONEL ORLANDO, Nº 600 - CENTRO - ORLÂNDIA-SP</v>
      </c>
      <c r="C7" s="679"/>
      <c r="D7" s="679"/>
      <c r="E7" s="682" t="s">
        <v>1060</v>
      </c>
      <c r="F7" s="680"/>
      <c r="G7" s="681"/>
    </row>
    <row r="8" spans="1:8" ht="18" customHeight="1">
      <c r="A8" s="90"/>
      <c r="B8" s="345"/>
      <c r="C8" s="345"/>
      <c r="D8" s="345"/>
      <c r="E8" s="92"/>
      <c r="F8" s="92"/>
      <c r="G8" s="93"/>
    </row>
    <row r="9" spans="1:8" ht="14.4" customHeight="1">
      <c r="A9" s="683" t="s">
        <v>175</v>
      </c>
      <c r="B9" s="684"/>
      <c r="C9" s="684"/>
      <c r="D9" s="684"/>
      <c r="E9" s="685"/>
      <c r="F9" s="684"/>
      <c r="G9" s="686"/>
      <c r="H9" s="94"/>
    </row>
    <row r="10" spans="1:8" ht="14.4" customHeight="1">
      <c r="A10" s="687" t="s">
        <v>1059</v>
      </c>
      <c r="B10" s="688"/>
      <c r="C10" s="688"/>
      <c r="D10" s="688"/>
      <c r="E10" s="688"/>
      <c r="F10" s="688"/>
      <c r="G10" s="689"/>
      <c r="H10" s="94"/>
    </row>
    <row r="11" spans="1:8">
      <c r="A11" s="95"/>
      <c r="B11" s="96"/>
      <c r="C11" s="96"/>
      <c r="D11" s="96"/>
      <c r="E11" s="96"/>
      <c r="F11" s="96"/>
      <c r="G11" s="97"/>
    </row>
    <row r="12" spans="1:8">
      <c r="A12" s="98"/>
      <c r="B12" s="94"/>
      <c r="C12" s="94"/>
      <c r="D12" s="94"/>
      <c r="E12" s="94"/>
      <c r="F12" s="94"/>
      <c r="G12" s="99"/>
    </row>
    <row r="13" spans="1:8">
      <c r="A13" s="98"/>
      <c r="B13" s="94"/>
      <c r="C13" s="94"/>
      <c r="D13" s="94"/>
      <c r="E13" s="94"/>
      <c r="F13" s="94"/>
      <c r="G13" s="99"/>
    </row>
    <row r="14" spans="1:8">
      <c r="A14" s="100" t="s">
        <v>3</v>
      </c>
      <c r="B14" s="101" t="s">
        <v>4</v>
      </c>
      <c r="C14" s="101" t="s">
        <v>176</v>
      </c>
      <c r="D14" s="102" t="s">
        <v>6</v>
      </c>
      <c r="E14" s="94"/>
      <c r="F14" s="94"/>
      <c r="G14" s="99"/>
    </row>
    <row r="15" spans="1:8">
      <c r="A15" s="100">
        <v>1</v>
      </c>
      <c r="B15" s="346" t="s">
        <v>1053</v>
      </c>
      <c r="C15" s="94"/>
      <c r="D15" s="347"/>
      <c r="E15" s="94"/>
      <c r="F15" s="94"/>
      <c r="G15" s="99"/>
    </row>
    <row r="16" spans="1:8">
      <c r="A16" s="100" t="s">
        <v>18</v>
      </c>
      <c r="B16" s="350" t="s">
        <v>1055</v>
      </c>
      <c r="C16" s="101" t="s">
        <v>1061</v>
      </c>
      <c r="D16" s="352">
        <f>SUM(D17:D19)</f>
        <v>6.9550000000000001E-2</v>
      </c>
      <c r="E16" s="94"/>
      <c r="F16" s="94"/>
      <c r="G16" s="99"/>
    </row>
    <row r="17" spans="1:7">
      <c r="A17" s="349" t="s">
        <v>545</v>
      </c>
      <c r="B17" s="104" t="s">
        <v>177</v>
      </c>
      <c r="C17" s="101" t="s">
        <v>178</v>
      </c>
      <c r="D17" s="109">
        <v>5.7700000000000001E-2</v>
      </c>
      <c r="E17" s="94"/>
      <c r="F17" s="94"/>
      <c r="G17" s="99"/>
    </row>
    <row r="18" spans="1:7">
      <c r="A18" s="349" t="s">
        <v>789</v>
      </c>
      <c r="B18" s="125" t="s">
        <v>1052</v>
      </c>
      <c r="C18" s="101" t="s">
        <v>1056</v>
      </c>
      <c r="D18" s="348">
        <v>2.15E-3</v>
      </c>
      <c r="E18" s="94"/>
      <c r="F18" s="94"/>
      <c r="G18" s="99"/>
    </row>
    <row r="19" spans="1:7" ht="18">
      <c r="A19" s="349" t="s">
        <v>1054</v>
      </c>
      <c r="B19" s="125" t="s">
        <v>1057</v>
      </c>
      <c r="C19" s="101" t="s">
        <v>179</v>
      </c>
      <c r="D19" s="108">
        <v>9.7000000000000003E-3</v>
      </c>
      <c r="E19" s="94"/>
      <c r="F19" s="94"/>
      <c r="G19" s="106"/>
    </row>
    <row r="20" spans="1:7">
      <c r="A20" s="349"/>
      <c r="B20" s="104"/>
      <c r="C20" s="101"/>
      <c r="D20" s="105"/>
      <c r="E20" s="94"/>
      <c r="F20" s="94"/>
      <c r="G20" s="99"/>
    </row>
    <row r="21" spans="1:7">
      <c r="A21" s="100">
        <v>2</v>
      </c>
      <c r="B21" s="346" t="s">
        <v>1058</v>
      </c>
      <c r="C21" s="101" t="s">
        <v>1062</v>
      </c>
      <c r="D21" s="347">
        <f>SUM(D22:D25)</f>
        <v>0.10149999999999999</v>
      </c>
      <c r="E21" s="94"/>
      <c r="F21" s="94"/>
      <c r="G21" s="99"/>
    </row>
    <row r="22" spans="1:7">
      <c r="A22" s="349" t="s">
        <v>485</v>
      </c>
      <c r="B22" s="107" t="s">
        <v>181</v>
      </c>
      <c r="C22" s="101"/>
      <c r="D22" s="108">
        <v>6.4999999999999997E-3</v>
      </c>
      <c r="E22" s="94"/>
      <c r="F22" s="94"/>
      <c r="G22" s="99"/>
    </row>
    <row r="23" spans="1:7">
      <c r="A23" s="349" t="s">
        <v>486</v>
      </c>
      <c r="B23" s="104" t="s">
        <v>185</v>
      </c>
      <c r="C23" s="101"/>
      <c r="D23" s="109">
        <v>0.02</v>
      </c>
      <c r="E23" s="94"/>
      <c r="F23" s="94"/>
      <c r="G23" s="99"/>
    </row>
    <row r="24" spans="1:7">
      <c r="A24" s="349" t="s">
        <v>546</v>
      </c>
      <c r="B24" s="104" t="s">
        <v>183</v>
      </c>
      <c r="C24" s="101"/>
      <c r="D24" s="109">
        <v>0.03</v>
      </c>
      <c r="E24" s="94"/>
      <c r="F24" s="94"/>
      <c r="G24" s="99"/>
    </row>
    <row r="25" spans="1:7">
      <c r="A25" s="349" t="s">
        <v>548</v>
      </c>
      <c r="B25" s="125" t="s">
        <v>1051</v>
      </c>
      <c r="C25" s="101"/>
      <c r="D25" s="109">
        <v>4.4999999999999998E-2</v>
      </c>
      <c r="E25" s="94"/>
      <c r="F25" s="94"/>
      <c r="G25" s="99"/>
    </row>
    <row r="26" spans="1:7">
      <c r="A26" s="103"/>
      <c r="B26" s="104"/>
      <c r="C26" s="101"/>
      <c r="D26" s="105"/>
      <c r="E26" s="94"/>
      <c r="F26" s="94"/>
      <c r="G26" s="99"/>
    </row>
    <row r="27" spans="1:7">
      <c r="A27" s="100">
        <v>3</v>
      </c>
      <c r="B27" s="350" t="s">
        <v>180</v>
      </c>
      <c r="C27" s="101" t="s">
        <v>1063</v>
      </c>
      <c r="D27" s="340">
        <v>7.3950000000000002E-2</v>
      </c>
      <c r="E27" s="94"/>
      <c r="F27" s="94"/>
      <c r="G27" s="99"/>
    </row>
    <row r="28" spans="1:7">
      <c r="A28" s="100"/>
      <c r="B28" s="350"/>
      <c r="C28" s="101"/>
      <c r="D28" s="340"/>
      <c r="E28" s="94"/>
      <c r="F28" s="94"/>
      <c r="G28" s="99"/>
    </row>
    <row r="29" spans="1:7" ht="15.6">
      <c r="A29" s="677" t="s">
        <v>187</v>
      </c>
      <c r="B29" s="678"/>
      <c r="C29" s="678"/>
      <c r="D29" s="351">
        <f>((((D16)+1)/(1-((D21+D27))))-1)</f>
        <v>0.2971317688436117</v>
      </c>
      <c r="E29" s="94"/>
      <c r="F29" s="94"/>
      <c r="G29" s="99"/>
    </row>
    <row r="30" spans="1:7">
      <c r="A30" s="98"/>
      <c r="B30" s="125"/>
      <c r="C30" s="94"/>
      <c r="D30" s="109"/>
      <c r="E30" s="94"/>
      <c r="F30" s="94"/>
      <c r="G30" s="99"/>
    </row>
    <row r="31" spans="1:7" ht="15.6">
      <c r="A31" s="675"/>
      <c r="B31" s="676"/>
      <c r="C31" s="676"/>
      <c r="D31" s="139"/>
      <c r="E31" s="94"/>
      <c r="F31" s="94"/>
      <c r="G31" s="99"/>
    </row>
    <row r="32" spans="1:7" ht="15" thickBot="1">
      <c r="A32" s="110"/>
      <c r="B32" s="111"/>
      <c r="C32" s="111"/>
      <c r="D32" s="111"/>
      <c r="E32" s="111"/>
      <c r="F32" s="111"/>
      <c r="G32" s="112"/>
    </row>
    <row r="33" spans="1:7" ht="15" thickBot="1">
      <c r="A33" s="110"/>
      <c r="B33" s="111"/>
      <c r="C33" s="111"/>
      <c r="D33" s="111"/>
      <c r="E33" s="111"/>
      <c r="F33" s="111"/>
      <c r="G33" s="112"/>
    </row>
    <row r="34" spans="1:7" ht="16.5" customHeight="1">
      <c r="A34" s="94"/>
      <c r="B34" s="94"/>
      <c r="C34" s="94"/>
      <c r="D34" s="94"/>
    </row>
    <row r="35" spans="1:7" ht="18" customHeight="1">
      <c r="A35" s="94"/>
      <c r="B35" s="94"/>
      <c r="C35" s="113"/>
      <c r="D35" s="94"/>
    </row>
    <row r="36" spans="1:7">
      <c r="A36" s="94"/>
      <c r="B36" s="94"/>
      <c r="C36" s="94"/>
      <c r="D36" s="94"/>
    </row>
    <row r="37" spans="1:7" ht="25.5" customHeight="1">
      <c r="A37" s="94"/>
      <c r="B37" s="94"/>
      <c r="C37" s="94"/>
      <c r="D37" s="94"/>
    </row>
    <row r="38" spans="1:7" ht="15" customHeight="1">
      <c r="A38" s="94"/>
      <c r="B38" s="94"/>
      <c r="C38" s="114"/>
      <c r="D38" s="94"/>
    </row>
    <row r="39" spans="1:7" ht="15" customHeight="1">
      <c r="A39" s="115"/>
      <c r="B39" s="116"/>
      <c r="C39" s="94"/>
      <c r="D39" s="94"/>
    </row>
    <row r="40" spans="1:7">
      <c r="A40" s="117"/>
      <c r="B40" s="116"/>
      <c r="C40" s="94"/>
      <c r="D40" s="94"/>
    </row>
  </sheetData>
  <mergeCells count="14">
    <mergeCell ref="B5:D5"/>
    <mergeCell ref="E5:G5"/>
    <mergeCell ref="A1:C3"/>
    <mergeCell ref="D1:E1"/>
    <mergeCell ref="F1:G3"/>
    <mergeCell ref="D2:E3"/>
    <mergeCell ref="A31:C31"/>
    <mergeCell ref="A29:C29"/>
    <mergeCell ref="B6:D6"/>
    <mergeCell ref="E6:G6"/>
    <mergeCell ref="E7:G7"/>
    <mergeCell ref="A9:G9"/>
    <mergeCell ref="A10:G10"/>
    <mergeCell ref="B7:D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17</vt:i4>
      </vt:variant>
    </vt:vector>
  </HeadingPairs>
  <TitlesOfParts>
    <vt:vector size="29" baseType="lpstr">
      <vt:lpstr>RESUMO (2)</vt:lpstr>
      <vt:lpstr>RESUMO</vt:lpstr>
      <vt:lpstr>ORÇAMENTO</vt:lpstr>
      <vt:lpstr>COMPOSIÇÕES</vt:lpstr>
      <vt:lpstr>MAPA DE ORÇAMENTOS</vt:lpstr>
      <vt:lpstr>MAPA DE COTAÇÃO MC01</vt:lpstr>
      <vt:lpstr>MAPA COTAÇÃO MC02</vt:lpstr>
      <vt:lpstr>CRONOGRAMA</vt:lpstr>
      <vt:lpstr>BDI</vt:lpstr>
      <vt:lpstr>LEIS SOCIAIS</vt:lpstr>
      <vt:lpstr>MEM. DE CÁLCULO</vt:lpstr>
      <vt:lpstr>MAPA QUANTITATIVO</vt:lpstr>
      <vt:lpstr>BDI!Area_de_impressao</vt:lpstr>
      <vt:lpstr>CRONOGRAMA!Area_de_impressao</vt:lpstr>
      <vt:lpstr>'LEIS SOCIAIS'!Area_de_impressao</vt:lpstr>
      <vt:lpstr>'MAPA COTAÇÃO MC02'!Area_de_impressao</vt:lpstr>
      <vt:lpstr>'MAPA DE COTAÇÃO MC01'!Area_de_impressao</vt:lpstr>
      <vt:lpstr>'MAPA DE ORÇAMENTOS'!Area_de_impressao</vt:lpstr>
      <vt:lpstr>'MEM. DE CÁLCULO'!Area_de_impressao</vt:lpstr>
      <vt:lpstr>ORÇAMENTO!Area_de_impressao</vt:lpstr>
      <vt:lpstr>RESUMO!Area_de_impressao</vt:lpstr>
      <vt:lpstr>'RESUMO (2)'!Area_de_impressao</vt:lpstr>
      <vt:lpstr>COMPOSIÇÕES!Titulos_de_impressao</vt:lpstr>
      <vt:lpstr>'MAPA COTAÇÃO MC02'!Titulos_de_impressao</vt:lpstr>
      <vt:lpstr>'MAPA DE COTAÇÃO MC01'!Titulos_de_impressao</vt:lpstr>
      <vt:lpstr>'MAPA DE ORÇAMENTOS'!Titulos_de_impressao</vt:lpstr>
      <vt:lpstr>'MAPA QUANTITATIVO'!Titulos_de_impressao</vt:lpstr>
      <vt:lpstr>'MEM. DE CÁLCULO'!Titulos_de_impressao</vt:lpstr>
      <vt:lpstr>ORÇAMENTO!Titulos_de_impressao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barros</dc:creator>
  <cp:lastModifiedBy>infraestrutura 01</cp:lastModifiedBy>
  <cp:revision/>
  <cp:lastPrinted>2023-10-16T18:11:07Z</cp:lastPrinted>
  <dcterms:created xsi:type="dcterms:W3CDTF">2014-06-27T17:53:42Z</dcterms:created>
  <dcterms:modified xsi:type="dcterms:W3CDTF">2023-10-16T18:41:53Z</dcterms:modified>
</cp:coreProperties>
</file>