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" sheetId="1" r:id="rId1"/>
    <sheet name="CRONO" sheetId="2" r:id="rId2"/>
    <sheet name="BDI" sheetId="3" r:id="rId3"/>
  </sheets>
  <externalReferences>
    <externalReference r:id="rId6"/>
  </externalReferences>
  <definedNames>
    <definedName name="_xlnm.Print_Titles" localSheetId="1">('CRONO'!$A:$J,'CRONO'!$1:$3)</definedName>
    <definedName name="_xlnm.Print_Titles" localSheetId="0">('PO'!$A:$K,'PO'!$1:$2)</definedName>
    <definedName name="Dados_Lista_BDI">'[1]DADOS'!$T$37:$X$37</definedName>
    <definedName name="Excel_BuiltIn_Database">NA()</definedName>
    <definedName name="Import_DataBase">'[1]DADOS'!$A$38</definedName>
    <definedName name="Import_Desoneracao">'[1]DADOS'!$C$38</definedName>
    <definedName name="PO_CustoUnitario">ROUND('PO'!#REF!,15-13*'PO'!#REF!)</definedName>
    <definedName name="PO_PrecoUnitario">ROUND('PO'!#REF!,15-13*'PO'!#REF!)</definedName>
    <definedName name="PO_Quantidade">ROUND('PO'!#REF!,15-13*'PO'!#REF!)</definedName>
    <definedName name="Referencia_Descricao">NA()</definedName>
    <definedName name="Referencia_Desonerado">NA()</definedName>
    <definedName name="Referencia_NaoDesonerado">NA()</definedName>
    <definedName name="SomaAgrup">SUMIF(OFFSET('PO'!$A1,1,0,'PO'!$B1),"S",OFFSET('PO'!A1,1,0,'PO'!$B1))</definedName>
    <definedName name="TipoOrçamento">"BASE"</definedName>
    <definedName name="VTOTAL1">ROUND(PO_Quantidade*PO_PrecoUnitario,15-13*'PO'!#REF!)</definedName>
    <definedName name="Código" localSheetId="0">'PO'!#REF!</definedName>
    <definedName name="Excel_BuiltIn_Print_Area" localSheetId="0">'PO'!$A$6:$K$196</definedName>
    <definedName name="Excel_BuiltIn_Print_Titles" localSheetId="0">('PO'!$A:$K,'PO'!$1:$2)</definedName>
    <definedName name="Fonte" localSheetId="0">'PO'!#REF!</definedName>
    <definedName name="Excel_BuiltIn_Print_Titles" localSheetId="1">('CRONO'!$A:$J,'CRONO'!$1:$3)</definedName>
  </definedNames>
  <calcPr fullCalcOnLoad="1"/>
</workbook>
</file>

<file path=xl/sharedStrings.xml><?xml version="1.0" encoding="utf-8"?>
<sst xmlns="http://schemas.openxmlformats.org/spreadsheetml/2006/main" count="1006" uniqueCount="474">
  <si>
    <r>
      <rPr>
        <b/>
        <sz val="14"/>
        <color indexed="8"/>
        <rFont val="Times New Roman"/>
        <family val="0"/>
      </rPr>
      <t xml:space="preserve">PREFEITURA MUNICIPAL DE ORLÂNDIA
</t>
    </r>
    <r>
      <rPr>
        <sz val="7"/>
        <color indexed="8"/>
        <rFont val="Times New Roman"/>
        <family val="0"/>
      </rPr>
      <t xml:space="preserve">ESTADO DE SÃO PAULO
</t>
    </r>
    <r>
      <rPr>
        <b/>
        <sz val="10.5"/>
        <color indexed="8"/>
        <rFont val="Times New Roman"/>
        <family val="0"/>
      </rPr>
      <t xml:space="preserve">SECRETARIA DE INFRAESTRUTURA URBANA
</t>
    </r>
    <r>
      <rPr>
        <sz val="7"/>
        <color indexed="8"/>
        <rFont val="Arial"/>
        <family val="0"/>
      </rPr>
      <t>PÇA. CEL. ORLANDO, 600 - C. P. 77 - CEP 14620-000 - FONE PABX (16) 3820-8000 - CNPJ: 45.351.749/0001-11</t>
    </r>
  </si>
  <si>
    <t>PLANILHA ORÇAMENTÁRIA</t>
  </si>
  <si>
    <t>OBJETO: REFORMA CENTRO DE LAZER EDGAR BENINI</t>
  </si>
  <si>
    <t>DEMANDA 40458 – SECRETÁRIA DE DESENVOLVIMENTO REGIONAL</t>
  </si>
  <si>
    <t>TABELAS REFERENCIAS: SINAPI 06/2023 – BOLETIM CDHU 190 05/2023 – FDE 07/2023 – SEM DESONERAÇÃO</t>
  </si>
  <si>
    <t>BDI: 22,23%</t>
  </si>
  <si>
    <t xml:space="preserve">PLANILHA A - ITENS CONVENIADOS </t>
  </si>
  <si>
    <t>ITEM</t>
  </si>
  <si>
    <t>REF.</t>
  </si>
  <si>
    <t>CÓDIGO</t>
  </si>
  <si>
    <t>DESCRIÇÃO DOS SERVIÇOS</t>
  </si>
  <si>
    <t>UN.</t>
  </si>
  <si>
    <t>QNT.</t>
  </si>
  <si>
    <t>R$ UN. REF.</t>
  </si>
  <si>
    <t>BDI</t>
  </si>
  <si>
    <t>BDI R$</t>
  </si>
  <si>
    <t>R$ UN.+ BDI</t>
  </si>
  <si>
    <t>VALOR TOTAL</t>
  </si>
  <si>
    <t>1.</t>
  </si>
  <si>
    <t>PLACA DE OBRA</t>
  </si>
  <si>
    <t>1.1</t>
  </si>
  <si>
    <t>SINAPI-I</t>
  </si>
  <si>
    <t>PLACA DE OBRA (PARA CONSTRUCAO CIVIL) EM CHAPA GALVANIZADA *N. 22*, ADESIVADA, DE *2,4 X 1,2* M (SEM POSTES PARA FIXACAO)</t>
  </si>
  <si>
    <t>M²</t>
  </si>
  <si>
    <t>REMOÇÃO DE ENTULHO DOS TELHADOS</t>
  </si>
  <si>
    <t>2.1</t>
  </si>
  <si>
    <t>FDE</t>
  </si>
  <si>
    <t>07.60.051</t>
  </si>
  <si>
    <t>RETIRADA DE TELHAS DE BARRO - S/REAPROV</t>
  </si>
  <si>
    <t>2.2</t>
  </si>
  <si>
    <t>16.80.098</t>
  </si>
  <si>
    <t>RETIRADA DE ENTULHO</t>
  </si>
  <si>
    <t>M3</t>
  </si>
  <si>
    <t>2.3</t>
  </si>
  <si>
    <t>01.02.004</t>
  </si>
  <si>
    <t>TRANSPORTE POR CAMINHAO</t>
  </si>
  <si>
    <t>M3XKM</t>
  </si>
  <si>
    <t>COBERTURA DO SALÃO</t>
  </si>
  <si>
    <t>3.1</t>
  </si>
  <si>
    <t>COBERTURA TELHADO 2 - COM PLATIBANDA DE ALVENARIA E BEIRAL DE LAJE</t>
  </si>
  <si>
    <t>3.1.1</t>
  </si>
  <si>
    <t>SINAPI</t>
  </si>
  <si>
    <t>TRAMA DE MADEIRA COMPOSTA POR RIPAS, CAIBROS E TERÇAS PARA TELHADOS DE MAIS QUE 2 ÁGUAS PARA TELHA CERÂMICA CAPA-CANAL, INCLUSO TRANSPORTE VERTICAL. AF_07/2019</t>
  </si>
  <si>
    <t>3.1.2</t>
  </si>
  <si>
    <t>FABRICAÇÃO E INSTALAÇÃO DE MEIA TESOURA DE MADEIRA NÃO APARELHADA, COM VÃO DE 10 M, PARA TELHA CERÂMICA OU DE CONCRETO, INCLUSO IÇAMENTO. AF_07/2019</t>
  </si>
  <si>
    <t>UN</t>
  </si>
  <si>
    <t>3.1.3</t>
  </si>
  <si>
    <t>SUBCOBERTURA COM MANTA PLÁSTICA REVESTIDA POR PELÍCULA DE ALUMÍNO, INCLUSO TRANSPORTE VERTICAL. AF_07/2019</t>
  </si>
  <si>
    <t>3.1.4</t>
  </si>
  <si>
    <t>TELHAMENTO COM TELHA CERÂMICA DE ENCAIXE, TIPO ROMANA, COM MAIS DE 2 ÁGUAS, INCLUSO TRANSPORTE VERTICAL. AF_07/2019</t>
  </si>
  <si>
    <t>3.1.5</t>
  </si>
  <si>
    <t>CUMEEIRA E ESPIGÃO PARA TELHA CERÂMICA EMBOÇADA COM ARGAMASSA TRAÇO 1:2:9 (CIMENTO, CAL E AREIA), PARA TELHADOS COM MAIS DE 2 ÁGUAS, INCLUSO TRANSPORTE VERTICAL. AF_07/2019</t>
  </si>
  <si>
    <t>M</t>
  </si>
  <si>
    <t>3.1.6</t>
  </si>
  <si>
    <t>CALHA EM CHAPA DE AÇO GALVANIZADO NÚMERO 24, DESENVOLVIMENTO DE 100 CM , INCLUSO TRANSPORTE VERTICAL. AF_07/2019</t>
  </si>
  <si>
    <t>3.2</t>
  </si>
  <si>
    <t>CONSTRUÇÃO PLATIBANDA DE ALVENARIA  E BEIRAL DE LAJE</t>
  </si>
  <si>
    <t>3.2.1</t>
  </si>
  <si>
    <t>MONTAGEM E DESMONTAGEM DE FÔRMA DE PILARES RETANGULARES E ESTRUTURAS SIMILARES, PÉ-DIREITO SIMPLES, EM MADEIRA SERRADA, 2 UTILIZAÇÕES. AF_09 /2020</t>
  </si>
  <si>
    <t>3.2.2</t>
  </si>
  <si>
    <t>ARMAÇÃO UTILIZANDO AÇO CA-25 DE 6,3 MM - MONTAGEM. AF_06/2022</t>
  </si>
  <si>
    <t>KG</t>
  </si>
  <si>
    <t>3.2.3</t>
  </si>
  <si>
    <t>ARMAÇÃO UTILIZANDO AÇO CA-25 DE 10,0 MM - MONTAGEM. AF_12/2015</t>
  </si>
  <si>
    <t>3.2.4</t>
  </si>
  <si>
    <t>MONTAGEM E DESMONTAGEM DE FÔRMA DE VIGA, ESCORAMENTO COM GARFO DE MADEIRA, PÉ-DIREITO SIMPLES, EM CHAPA DE MADEIRA RESINADA, 2 UTILIZAÇÕES. AF_09/2020</t>
  </si>
  <si>
    <t>3.2.5</t>
  </si>
  <si>
    <t>3.2.6</t>
  </si>
  <si>
    <t>3.2.7</t>
  </si>
  <si>
    <t>CONCRETAGEM DE PILARES, FCK = 25 MPA, COM USO DE BALDES - LANÇAMENTO,ADENSAMENTO E ACABAMENTO. AF_02/2022</t>
  </si>
  <si>
    <t>M³</t>
  </si>
  <si>
    <t>3.2.8</t>
  </si>
  <si>
    <t>CONCRETAGEM DE VIGAS E LAJES, FCK=25 MPA, PARA LAJES PREMOLDADAS COM USO DE BOMBA - LANÇAMENTO, ADENSAMENTO E ACABAMENTO. AF_02/2022</t>
  </si>
  <si>
    <t>3.2.9</t>
  </si>
  <si>
    <t>ALVENARIA DE VEDAÇÃO DE BLOCOS CERÂMICOS FURADOS NA VERTICAL DE 9X19X39 CM (ESPESSURA 9 CM) E ARGAMASSA DE ASSENTAMENTO COM PREPARO EM BETON
 EIRA. AF_12/2021</t>
  </si>
  <si>
    <t>3.2.10</t>
  </si>
  <si>
    <t>LAJE PRÉ-MOLDADA UNIDIRECIONAL, BIAPOIADA, PARA FORRO, ENCHIMENTO EM CERÂMICA, VIGOTA CONVENCIONAL, ALTURA TOTAL DA LAJE (ENCHIMENTO+CAPA) = (8+3). AF_11/2020</t>
  </si>
  <si>
    <t>3.3</t>
  </si>
  <si>
    <t xml:space="preserve">REVESTIMENTO ALVENARIA PLATIBANDA E BEIRAL </t>
  </si>
  <si>
    <t>3.3.1</t>
  </si>
  <si>
    <t>CDHU</t>
  </si>
  <si>
    <t>17.02.020</t>
  </si>
  <si>
    <t>CHAPISCO</t>
  </si>
  <si>
    <t>3.3.2</t>
  </si>
  <si>
    <t>MASSA ÚNICA, PARA RECEBIMENTO DE PINTURA, EM ARGAMASSA TRAÇO 1:2:8, PREPARO MECÂNICO COM BETONEIRA 400L, APLICADA MANUALMENTE EM FACES INTERNAS DE PAREDES, ESPESSURA DE 20MM, COM EXECUÇÃO DE TALISCAS. AF_06/2014</t>
  </si>
  <si>
    <t>3.3.3</t>
  </si>
  <si>
    <t>PINTURA LÁTEX ACRÍLICA PREMIUM, APLICAÇÃO MANUAL EM PAREDES, DUAS DEMÃOS. AF_04/2023</t>
  </si>
  <si>
    <t>3.4</t>
  </si>
  <si>
    <t xml:space="preserve">COBERTURA TELHADO 1 - COM BEIRAL DE LAJE </t>
  </si>
  <si>
    <t>3.4.1</t>
  </si>
  <si>
    <t>3.4.2</t>
  </si>
  <si>
    <t>FABRICAÇÃO E INSTALAÇÃO DE MEIA TESOURA DE MADEIRA NÃO APARELHADA, COM VÃO DE 6 M, PARA TELHA CERÂMICA OU DE CONCRETO, INCLUSO IÇAMENTO. AF_07/2019</t>
  </si>
  <si>
    <t>3.4.3</t>
  </si>
  <si>
    <t>3.4.4</t>
  </si>
  <si>
    <t>3.4.5</t>
  </si>
  <si>
    <t>3.4.6</t>
  </si>
  <si>
    <t>3.5</t>
  </si>
  <si>
    <t>CONSTRUÇÃO, REVESTIMENTO E PINTURA DO BEIRAL DE LAJE</t>
  </si>
  <si>
    <t>3.5.1</t>
  </si>
  <si>
    <t>LAJE PRÉ-MOLDADA UNIDIRECIONAL, BIAPOIADA, PARA FORRO, ENCHIMENTO EM CERÂMICA, VIGOTA CONVENCIONAL, ALTURA TOTAL DA LAJE (ENCHIMENTO+CAPA) =(8+3). AF_11/2020</t>
  </si>
  <si>
    <t>3.5.2</t>
  </si>
  <si>
    <t>3.5.3</t>
  </si>
  <si>
    <t>3.5.4</t>
  </si>
  <si>
    <t>FORRO DO SALÃO TOTAL - TELHADO 1 E 2</t>
  </si>
  <si>
    <t>4.1</t>
  </si>
  <si>
    <t>10.60.005</t>
  </si>
  <si>
    <t>RETIRADA DE FORRO DE PVC EM LAMINAS</t>
  </si>
  <si>
    <t>4.2</t>
  </si>
  <si>
    <t>4.3</t>
  </si>
  <si>
    <t>4.4</t>
  </si>
  <si>
    <t>22.02.030</t>
  </si>
  <si>
    <t xml:space="preserve"> FORRO EM PAINÉIS DE GESSO ACARTONADO, ESPESSURA DE 12,5MM, FIXO</t>
  </si>
  <si>
    <t>REFORMA DOS BANHEIROS INTERNOS DO SALÃO</t>
  </si>
  <si>
    <t>5.1</t>
  </si>
  <si>
    <t>DEMOLIÇÃO DE REVESTIMENTO CERÂMICO, DE FORMA MANUAL, SEM REAPROVEITAMENTO. AF_12/2017</t>
  </si>
  <si>
    <t>5.2</t>
  </si>
  <si>
    <t>DEMOLIÇÃO DE ARGAMASSAS, DE FORMA MANUAL, SEM REAPROVEITAMENTO. AF_12/ 2017</t>
  </si>
  <si>
    <t>5.3</t>
  </si>
  <si>
    <t>DEMOLIÇÃO DE ALVENARIA DE BLOCO FURADO, DE FORMA MANUAL, SEM REAPROVEITAMENTO. AF_12/2017</t>
  </si>
  <si>
    <t>5.4</t>
  </si>
  <si>
    <t xml:space="preserve">08.60.011 </t>
  </si>
  <si>
    <t>RETIRADA DE APARELHOS SANITÁRIOS INCLUINDO ACESSÓRIOS</t>
  </si>
  <si>
    <t>5.5</t>
  </si>
  <si>
    <t>5.6</t>
  </si>
  <si>
    <t>5.7</t>
  </si>
  <si>
    <t>REVESTIMENTO CERÂMICO PARA PISO COM PLACAS TIPO ESMALTADA EXTRA DE DIMENSÕES 35X35 CM APLICADA EM AMBIENTES DE ÁREA MAIOR QUE 10 M2. AF_06/2014</t>
  </si>
  <si>
    <t>5.8</t>
  </si>
  <si>
    <t>5.9</t>
  </si>
  <si>
    <t>VASO SANITARIO SIFONADO CONVENCIONAL PARA PCD SEM FURO FRONTAL COM LOUÇA BRANCA SEM ASSENTO, INCLUSO CONJUNTO DE LIGAÇÃO PARA BACIA SANITÁRIA AJUSTÁVEL - FORNECIMENTO E INSTALAÇÃO. AF_01/2020</t>
  </si>
  <si>
    <t>5.10</t>
  </si>
  <si>
    <t>VASO SANITARIO SIFONADO CONVENCIONAL COM LOUÇA BRANCA, INCLUSO CONJUNTO DE LIGAÇÃO PARA BACIA SANITÁRIA AJUSTÁVEL - FORNECIMENTO E INSTALAÇÃO. AF_10/2016</t>
  </si>
  <si>
    <t>5.11</t>
  </si>
  <si>
    <t>MICTÓRIO SIFONADO LOUÇA BRANCA PARA ENTRADA DE ÁGUA EMBUTIDA PADRÃO ALTO FORNECIMENTO E INSTALAÇÃO. AF_01/2020</t>
  </si>
  <si>
    <t>5.12</t>
  </si>
  <si>
    <t xml:space="preserve">08.80.032 </t>
  </si>
  <si>
    <t>TORNEIRA PARA LAVATORIO DE LOUCA BRANCA OU BANCADA</t>
  </si>
  <si>
    <t xml:space="preserve">PINTURA DO SALÃO TOTAL - INTERNO, EXTERNO E FORRO </t>
  </si>
  <si>
    <t>6.1</t>
  </si>
  <si>
    <t xml:space="preserve">ESQUADRIAS </t>
  </si>
  <si>
    <t>7.1</t>
  </si>
  <si>
    <t xml:space="preserve">REMOÇÃO DE PORTAS E JANELAS </t>
  </si>
  <si>
    <t>7.1.1</t>
  </si>
  <si>
    <t xml:space="preserve">05.60.001 </t>
  </si>
  <si>
    <t>RETIRADA DE FOLHAS DE PORTAS OU JANELAS</t>
  </si>
  <si>
    <t>7.1.2</t>
  </si>
  <si>
    <t>7.1.3</t>
  </si>
  <si>
    <t>7.2</t>
  </si>
  <si>
    <t>INSTALAÇÃO DE PORTAS E JANELAS</t>
  </si>
  <si>
    <t>7.2.1</t>
  </si>
  <si>
    <t>JANELA DE ALUMÍNIO TIPO MAXIM-AR, COM VIDROS, BATENTE E FERRAGENS. EXCLUSIVE ALIZAR, ACABAMENTO E CONTRAMARCO. FORNECIMENTO E INSTALAÇÃO. AF_12/2019</t>
  </si>
  <si>
    <t>7.2.2</t>
  </si>
  <si>
    <t>06.01.072</t>
  </si>
  <si>
    <t>CAIXILHOS DE ALUMINIO -BASCULANTES</t>
  </si>
  <si>
    <t>7.2.3</t>
  </si>
  <si>
    <t>14.01.008</t>
  </si>
  <si>
    <t>VIDRO LISO COMUM INCOLOR DE 6MM</t>
  </si>
  <si>
    <t>7.2.4</t>
  </si>
  <si>
    <t>KIT DE PORTA DE MADEIRA PARA PINTURA, SEMI-OCA (LEVE OU MÉDIA), PADRÃO MÉDIO, 60X210CM, ESPESSURA DE 3,5CM, ITENS INCLUSOS: DOBRADIÇAS, MONTAGEM E INSTALAÇÃO DO BATENTE, FECHADURA COM EXECUÇÃO DO FURO – FORNECIMENTO E INSTALAÇÃO. AF_12/2019</t>
  </si>
  <si>
    <t>7.2.5</t>
  </si>
  <si>
    <t>KIT DE PORTA DE MADEIRA PARA PINTURA, SEMI-OCA (LEVE OU MÉDIA), PADRÃO MÉDIO, 80X210CM, ESPESSURA DE 3,5CM, ITENS INCLUSOS: DOBRADIÇAS, MONTAGEM E INSTALAÇÃO DO BATENTE, FECHADURA COM EXECUÇÃO DO FURO – FORNECIMENTO E INSTALAÇÃO. AF_12/2019</t>
  </si>
  <si>
    <t>7.2.6</t>
  </si>
  <si>
    <t>KIT DE PORTA DE MADEIRA PARA PINTURA, SEMI-OCA (LEVE OU MÉDIA), PADRÃO MÉDIO, 90X210CM, ESPESSURA DE 3,5CM, ITENS INCLUSOS: DOBRADIÇAS, MONTAGEM E INSTALAÇÃO DO BATENTE, FECHADURA COM EXECUÇÃO DO FURO – FORNECIMENTO E INSTALAÇÃO. AF_12/2019</t>
  </si>
  <si>
    <t>7.2.7</t>
  </si>
  <si>
    <t>24.02.010</t>
  </si>
  <si>
    <t xml:space="preserve">PORTA EM FERRO DE ABRIR, PARA RECEBER VIDRO, SOB MEDIDA </t>
  </si>
  <si>
    <t>7.2.8</t>
  </si>
  <si>
    <t>7.2.9</t>
  </si>
  <si>
    <t>06.03.016</t>
  </si>
  <si>
    <t>BP-01 BARRA ANTIPANICO SIMPLES</t>
  </si>
  <si>
    <t>7.2.10</t>
  </si>
  <si>
    <t xml:space="preserve">SINAPI </t>
  </si>
  <si>
    <t>PEITORIL LINEAR EM GRANITO OU MÁRMORE, L = 15CM, COMPRIMENTO DE ATÉ 2M, ASSENTADO COM ARGAMASSA 1:6 COM ADITIVO. AF_11/2020</t>
  </si>
  <si>
    <t xml:space="preserve">REFORMA DA SALA ESPORTIVA </t>
  </si>
  <si>
    <t>8.1</t>
  </si>
  <si>
    <t>COBERTURA DO TELHADO 03</t>
  </si>
  <si>
    <t>8.1.1</t>
  </si>
  <si>
    <t>8.1.2</t>
  </si>
  <si>
    <t>8.1.3</t>
  </si>
  <si>
    <t>8.1.4</t>
  </si>
  <si>
    <t>8.1.5</t>
  </si>
  <si>
    <t>8.1.6</t>
  </si>
  <si>
    <t>8.2</t>
  </si>
  <si>
    <t>PINTURA SALA ESPORTIVA - INTERNA E EXTERNA</t>
  </si>
  <si>
    <t>8.2.1</t>
  </si>
  <si>
    <t>SINAP</t>
  </si>
  <si>
    <t>PINTURA LÁTEX ACRÍLICA PREMIUM, APLICAÇÃO MANUAL EM PAREDES, DUAS DEMÃ OS. AF_04/2023</t>
  </si>
  <si>
    <t>8.3</t>
  </si>
  <si>
    <t xml:space="preserve">COBERTURA TELHADO FORA DO SALÃO - ENTRADA SECUNDARIA </t>
  </si>
  <si>
    <t>8.3.1</t>
  </si>
  <si>
    <t>8.3.2</t>
  </si>
  <si>
    <t>8.3.3</t>
  </si>
  <si>
    <t>8.3.4</t>
  </si>
  <si>
    <t>8.3.5</t>
  </si>
  <si>
    <t>CONSTRUÇÃO DE MURO NA RUA 16</t>
  </si>
  <si>
    <t>9.1</t>
  </si>
  <si>
    <t>FUNDAÇÃO</t>
  </si>
  <si>
    <t>9.1.1</t>
  </si>
  <si>
    <t>DEMOLIÇÃO DE ALVENARIA PARA QUALQUER TIPO DE BLOCO, DE FORMA MECANIZADA, SEM REAPROVEITAMENTO. AF_12/2017</t>
  </si>
  <si>
    <t>9.1.2</t>
  </si>
  <si>
    <t>9.1.3</t>
  </si>
  <si>
    <t>9.1.4</t>
  </si>
  <si>
    <t>ESTACA BROCA DE CONCRETO, DIÂMETRO DE 20CM, ESCAVAÇÃO MANUAL COM TRADO CONCHA, COM ARMADURA DE ARRANQUE. AF_05/202</t>
  </si>
  <si>
    <t>9.1.5</t>
  </si>
  <si>
    <t xml:space="preserve">ESCAVAÇÃO MANUAL DE VALA PARA VIGA BALDRAME (SEM ESCAVAÇÃO PARA COLOCAÇÃO DE FÔRMAS). AF_06/2017 </t>
  </si>
  <si>
    <t>9.1.6</t>
  </si>
  <si>
    <t>PREPARO DE FUNDO DE VALA COM LARGURA MENOR QUE 1,5 M, COM CAMADA DE BRITA, LANÇAMENTO MANUAL. AF_08/2020</t>
  </si>
  <si>
    <t>9.1.7</t>
  </si>
  <si>
    <t xml:space="preserve">ARMAÇÃO UTILIZANDO AÇO CA-25 DE 6,3 MM - MONTAGEM. AF_06/2022 </t>
  </si>
  <si>
    <t>9.1.8</t>
  </si>
  <si>
    <t>9.1.9</t>
  </si>
  <si>
    <t>CONCRETAGEM DE BLOCOS DE COROAMENTO E VIGAS BALDRAMES, FCK 30 MPA, COM USO DE BOMBA LANÇAMENTO, ADENSAMENTO E ACABAMENTO. AF_06/2017</t>
  </si>
  <si>
    <t>9.2</t>
  </si>
  <si>
    <t>INFRAESTRUTURA</t>
  </si>
  <si>
    <t>9.2.1</t>
  </si>
  <si>
    <t>MONTAGEM E DESMONTAGEM DE FÔRMA DE PILARES RETANGULARES E ESTRUTURAS SIMILARES, PÉ-DIREITO SIMPLES, EM CHAPA DE MADEIRA COMPENSADA RESINADA, 2 UTILIZAÇÕES. AF_09/2020</t>
  </si>
  <si>
    <t>9.2.2</t>
  </si>
  <si>
    <t>9.2.3</t>
  </si>
  <si>
    <t>9.2.4</t>
  </si>
  <si>
    <t>9.2.5</t>
  </si>
  <si>
    <t>CONCRETAGEM DE PILARES, FCK = 25 MPA, COM USO DE GRUA - LANÇAMENTO, ADENSAMENTO E ACABAMENTO. AF_02/2022</t>
  </si>
  <si>
    <t>9.2.6</t>
  </si>
  <si>
    <t>CONCRETAGEM DE VIGAS E LAJES, FCK=25 MPA, PARA LAJES MACIÇAS OU NERVURADAS COM USO DE BOMBA - LANÇAMENTO, ADENSAMENTO E ACABAMENTO. AF_02/2022</t>
  </si>
  <si>
    <t>9.2.7</t>
  </si>
  <si>
    <t>ALVENARIA DE VEDAÇÃO DE BLOCOS CERÂMICOS FURADOS NA VERTICAL DE 9X19X39 CM (ESPESSURA 9 CM) E ARGAMASSA DE ASSENTAMENTO COM PREPARO EM BETONEIRA. AF_12/2021</t>
  </si>
  <si>
    <t>9.2.8</t>
  </si>
  <si>
    <t>9.2.9</t>
  </si>
  <si>
    <t>9.2.10</t>
  </si>
  <si>
    <t>LIMPEZA E PAVIMENTAÇÃO DO PISO RUA 16</t>
  </si>
  <si>
    <t>10.1</t>
  </si>
  <si>
    <t>LIMPEZA MANUAL DE VEGETAÇÃO EM TERRENO COM ENXADA.AF_05/2018</t>
  </si>
  <si>
    <t>M2</t>
  </si>
  <si>
    <t>10.2</t>
  </si>
  <si>
    <t>13.80.032</t>
  </si>
  <si>
    <t>TELA Q-92 PARA PISO DE CONCRETO</t>
  </si>
  <si>
    <t>10.3</t>
  </si>
  <si>
    <t>PISO CIMENTADO, TRAÇO 1:3 (CIMENTO E AREIA), ACABAMENTO LISO, ESPESSURA 4,0 CM, PREPARO MECÂNICO DA ARGAMASSA. AF_09/2020</t>
  </si>
  <si>
    <t>10.4</t>
  </si>
  <si>
    <t>PINTURA DE PISO COM TINTA ACRÍLICA, APLICAÇÃO MANUAL, 2 DEMÃOS, INCLUSO FUNDO PREPARADOR. AF_05/2021</t>
  </si>
  <si>
    <t>10.5</t>
  </si>
  <si>
    <t>10.6</t>
  </si>
  <si>
    <t>PINTURA DAS QUADRAS - QUADRA 1, 2 E BOCHA</t>
  </si>
  <si>
    <t>11.1</t>
  </si>
  <si>
    <t xml:space="preserve">QUADRA DE BOCHA </t>
  </si>
  <si>
    <t>12.1</t>
  </si>
  <si>
    <t>12.2</t>
  </si>
  <si>
    <t>12.3</t>
  </si>
  <si>
    <t>02.03.001</t>
  </si>
  <si>
    <t>FORMA DE MADEIRA MACICA</t>
  </si>
  <si>
    <t>12.4</t>
  </si>
  <si>
    <t>PINTURA TINTA DE ACABAMENTO (PIGMENTADA) ESMALTE SINTÉTICO ACETINADO EM MADEIRA, 1 DEMÃO. AF_01/2021</t>
  </si>
  <si>
    <t>PINTURA DO PISO EXTERNO- SALÃO, SALA ESPORTIVA, ENTRADA SECUNDARIA, PISCINA, ESPAÇO QUADRA GERAL</t>
  </si>
  <si>
    <t>13.1</t>
  </si>
  <si>
    <t>PREPARO DO PISO CIMENTADO PARA PINTURA - LIXAMENTO E LIMPEZA. AF_05/2021</t>
  </si>
  <si>
    <t>13.2</t>
  </si>
  <si>
    <t>13.3</t>
  </si>
  <si>
    <t>QUADRA DE AREIA</t>
  </si>
  <si>
    <t>14.1</t>
  </si>
  <si>
    <t>14.2</t>
  </si>
  <si>
    <t>14.3</t>
  </si>
  <si>
    <t>14.4</t>
  </si>
  <si>
    <t>ENCHIMENTO DE AREIA PARA DRENO, LANÇAMENTO MANUAL. AF_07/2021</t>
  </si>
  <si>
    <t>ALAMBRADO DAS QUADRAS</t>
  </si>
  <si>
    <t>15.1</t>
  </si>
  <si>
    <t>16.04.037</t>
  </si>
  <si>
    <t xml:space="preserve">FQ-04 ALAMBRADO COM PERFIL E TELA SOLDADA-GALVANIZADOS </t>
  </si>
  <si>
    <t>SUPRESSÃO DE ÁRVORES – RUA 16</t>
  </si>
  <si>
    <t>16.1</t>
  </si>
  <si>
    <t>CORTE RASO E RECORTE DE ÁRVORE COM DIÂMETRO DE TRONCO MAIOR OU IGUAL A 0,60 M.AF_05/201</t>
  </si>
  <si>
    <t>16.2</t>
  </si>
  <si>
    <t>16.3</t>
  </si>
  <si>
    <t>ARQUIBANCADA</t>
  </si>
  <si>
    <t>17.1</t>
  </si>
  <si>
    <t>17.2</t>
  </si>
  <si>
    <t>17.3</t>
  </si>
  <si>
    <t>17.4</t>
  </si>
  <si>
    <t>17.5</t>
  </si>
  <si>
    <t>17.6</t>
  </si>
  <si>
    <t>17.7</t>
  </si>
  <si>
    <t>EXECUÇÃO DE MURETA GUIA PARA CONTENÇÃO/ FUNDAÇÃO COM 80 CM DE ESPESSURA. AF_06/2018</t>
  </si>
  <si>
    <t>17.8</t>
  </si>
  <si>
    <t>17.9</t>
  </si>
  <si>
    <t>17.10</t>
  </si>
  <si>
    <t>17.11</t>
  </si>
  <si>
    <t>16.03.002</t>
  </si>
  <si>
    <t>GRAMA ESMERALDA EM PLACAS</t>
  </si>
  <si>
    <t>17.12</t>
  </si>
  <si>
    <t xml:space="preserve">02.01.025 </t>
  </si>
  <si>
    <t>REATERRO INTERNO APILOADO</t>
  </si>
  <si>
    <t>17.13</t>
  </si>
  <si>
    <t>17.14</t>
  </si>
  <si>
    <t>PASSEIO</t>
  </si>
  <si>
    <t>18.1</t>
  </si>
  <si>
    <t>02.50.001</t>
  </si>
  <si>
    <t>DEMOLIÇÃO DE CONCRETO SIMPLES (MANUAL)</t>
  </si>
  <si>
    <t>18.2</t>
  </si>
  <si>
    <t>18.3</t>
  </si>
  <si>
    <t>18.4</t>
  </si>
  <si>
    <t>REFORMA DO PISO DO SALÃO</t>
  </si>
  <si>
    <t>19.1</t>
  </si>
  <si>
    <t>19.2</t>
  </si>
  <si>
    <t>19.3</t>
  </si>
  <si>
    <t>19.4</t>
  </si>
  <si>
    <t>19.5</t>
  </si>
  <si>
    <t>REVESTIMENTO CERÂMICO PARA PISO COM PLACAS TIPO ESMALTADA EXTRA DE DIMENSÕES 45X45 CM APLICADA EM AMBIENTES DE ÁREA MAIOR QUE 10 M2. AF_06/2014</t>
  </si>
  <si>
    <t>19.6</t>
  </si>
  <si>
    <t>13.01.018</t>
  </si>
  <si>
    <t>ARGAMASSA DE REGULARIZACAO CIM/AREIA 1:3 C/ IMPERM. ESP=2,50CM</t>
  </si>
  <si>
    <t>ILUMINAÇÃO QUADRAS E GALPÃO DE BOCHA</t>
  </si>
  <si>
    <t>20.1</t>
  </si>
  <si>
    <t>04.21.140</t>
  </si>
  <si>
    <t>REMOÇÃO DE POSTE METÁLICO</t>
  </si>
  <si>
    <t>20.2</t>
  </si>
  <si>
    <t>09.52.018</t>
  </si>
  <si>
    <t>REMOCAO DE CABO EMBUTIDO ACIMA DE 16 MM2</t>
  </si>
  <si>
    <t>20.3</t>
  </si>
  <si>
    <t>41.10.490</t>
  </si>
  <si>
    <t>POSTE TELECÔNICO RETO EM AÇO SAE 1010/1020 GALVANIZADO A FOGO, COM BASE, ALTURA DE 7,00 M</t>
  </si>
  <si>
    <t>20.4</t>
  </si>
  <si>
    <t>41.10.070</t>
  </si>
  <si>
    <t>CRUZETA REFORÇADA EM FERRO GALVANIZADO PARA FIXAÇÃO DE QUATRO LUMINÁRIAS</t>
  </si>
  <si>
    <t>20.5</t>
  </si>
  <si>
    <t>16.13.001</t>
  </si>
  <si>
    <t>ESCAVACAO MANUAL - PROFUNDIDADE ATE 1.80 M</t>
  </si>
  <si>
    <t>20.6</t>
  </si>
  <si>
    <t>ELETRODUTO FLEXÍVEL CORRUGADO, PEAD, DN 50 (1 1/2"), PARA REDE ENTERRADA DE DISTRIBUIÇÃO DE ENERGIA ELÉTRICA - FORNECIMENTO E INSTALAÇÃO. AF_12/2021</t>
  </si>
  <si>
    <t>20.7</t>
  </si>
  <si>
    <t>16.13.015</t>
  </si>
  <si>
    <t>20.8</t>
  </si>
  <si>
    <t>CABO DE COBRE FLEXÍVEL ISOLADO, 16 MM², ANTI-CHAMA 0,6/1,0 KV, PARA CIRCUITOS TERMINAIS - FORNECIMENTO E INSTALAÇÃO. AF_12/2015</t>
  </si>
  <si>
    <t>20.9</t>
  </si>
  <si>
    <t>QUADRO DE DISTRIBUIÇÃO DE ENERGIA EM CHAPA DE AÇO GALVANIZADO, DE EMBUTIR, COM BARRAMENTO TRIFÁSICO, PARA 12 DISJUNTORES DIN 100A - FORNECIMENTO E INSTALAÇÃO. AF_10/2020</t>
  </si>
  <si>
    <t>20.10</t>
  </si>
  <si>
    <t>09.06.026</t>
  </si>
  <si>
    <t>CAIXA DE PASSAGEM EM ALVENARIA DE 0,60X0,60X0,60 M</t>
  </si>
  <si>
    <t>20.11</t>
  </si>
  <si>
    <t>ALVENARIA DE VEDAÇÃO DE BLOCOS CERÂMICOS FURADOS NA HORIZONTAL DE 9X19X19 CM (ESPESSURA 9 CM) E ARGAMASSA DE ASSENTAMENTO COM PREPARO EM BETONEIRA. AF_12/2021</t>
  </si>
  <si>
    <t>20.12</t>
  </si>
  <si>
    <t>20.13</t>
  </si>
  <si>
    <t>20.14</t>
  </si>
  <si>
    <t>09.02.089</t>
  </si>
  <si>
    <t>DISJUNTOR TRIPOLAR TERMOMAGNETICO 3X60A A 3X100A</t>
  </si>
  <si>
    <t>20.15</t>
  </si>
  <si>
    <t>09.02.087</t>
  </si>
  <si>
    <t>DISJUNTOR BIPOLAR TERMOMAGNETICO 2X60A A 2X100A</t>
  </si>
  <si>
    <t>20.16</t>
  </si>
  <si>
    <t>09.02.086</t>
  </si>
  <si>
    <t>DISJUNTOR BIPOLAR TERMOMAGNETICO 2X10A A 2X50A</t>
  </si>
  <si>
    <t>20.17</t>
  </si>
  <si>
    <t>40.10.132</t>
  </si>
  <si>
    <t>CONTATOR DE POTÊNCIA 65 A ‐ 2NA+2NF</t>
  </si>
  <si>
    <t>20.18</t>
  </si>
  <si>
    <t>40.11.010</t>
  </si>
  <si>
    <t>RELÉ FOTOELÉTRICO 50/60 HZ, 110/220 V, 1200 VA, COMPLETO</t>
  </si>
  <si>
    <t>20.19</t>
  </si>
  <si>
    <t>40.10.100</t>
  </si>
  <si>
    <t>CONTATOR DE POTÊNCIA 32 A ‐ 2NA+2NF</t>
  </si>
  <si>
    <t>20.20</t>
  </si>
  <si>
    <t>09.11.041</t>
  </si>
  <si>
    <t>IL-101 PROJETOR LED &lt;=100W L240 X H175 MM C/DIFUSOR DE VIDRO TEMPERADO.</t>
  </si>
  <si>
    <t>20.21</t>
  </si>
  <si>
    <t>38.04.060</t>
  </si>
  <si>
    <t>ELETRODUTO GALVANIZADO CONFORME NBR13057 ‐ 1´ COM ACESSÓRIOS</t>
  </si>
  <si>
    <t>20.22</t>
  </si>
  <si>
    <t>40.06.060</t>
  </si>
  <si>
    <t>CONDULETE METÁLICO DE 1´</t>
  </si>
  <si>
    <t>20.23</t>
  </si>
  <si>
    <t>CABO DE COBRE FLEXÍVEL ISOLADO, 6 MM², ANTI-CHAMA 0,6/1,0 KV, PARA CIRCUITOS TERMINAIS - FORNECIMENTO E INSTALAÇÃO. AF_12/2015</t>
  </si>
  <si>
    <t>ILUMINAÇÃO DO SALÃO PRINCIPAL</t>
  </si>
  <si>
    <t>21.1</t>
  </si>
  <si>
    <t>04.17.020</t>
  </si>
  <si>
    <t>REMOÇÃO DE APARELHO DE ILUMINAÇÃO OU PROJETOR FIXO EM TETO, PISO OU PAREDE</t>
  </si>
  <si>
    <t>21.2</t>
  </si>
  <si>
    <t>04.18.380</t>
  </si>
  <si>
    <t>REMOÇÃO DE CONDUTOR EMBUTIDO DIÂMETRO EXTERNO ACIMA DE 6,5 MM</t>
  </si>
  <si>
    <t>21.3</t>
  </si>
  <si>
    <t>RASGO EM ALVENARIA PARA RAMAIS/ DISTRIBUIÇÃO COM DIAMETROS MENORES OU IGUAIS A 40 MM. AF_05/2015</t>
  </si>
  <si>
    <t>21.4</t>
  </si>
  <si>
    <t>ELETRODUTO FLEXÍVEL CORRUGADO, PVC, DN 32 MM (1"), PARA CIRCUITOS TERMINAIS, INSTALADO EM PAREDE - FORNECIMENTO E INSTALAÇÃO. AF_12/2015</t>
  </si>
  <si>
    <t>21.5</t>
  </si>
  <si>
    <t>CHUMBAMENTO LINEAR EM ALVENARIA PARA RAMAIS/DISTRIBUIÇÃO COM DIÂMETROS MENORES OU IGUAIS A 40 MM. AF_05/2015</t>
  </si>
  <si>
    <t>21.6</t>
  </si>
  <si>
    <t>21.7</t>
  </si>
  <si>
    <t>09.09.067</t>
  </si>
  <si>
    <t>IL-98 LUMINÁRIA LED SUSPENSA &lt;= 68W Ø 190MM</t>
  </si>
  <si>
    <t>21.8</t>
  </si>
  <si>
    <t>41.11.115</t>
  </si>
  <si>
    <t>LUMINÁRIA RETANGULAR TIPO ARANDELA EXTERNA PARA 2 LÂMPADAS, COM DIFUSOR EM POLIETILENO OU VIDRO LEITOSO</t>
  </si>
  <si>
    <t>21.9</t>
  </si>
  <si>
    <t>09.09.063</t>
  </si>
  <si>
    <t>IL-63 LUMINARIA DE EMBUTIR C/ REFLETOR E ALETAS P/ LAMP. FLUORESCENTE (4X16W)</t>
  </si>
  <si>
    <t>21.10</t>
  </si>
  <si>
    <t>09.85.088</t>
  </si>
  <si>
    <t>LAMPADA LED TUBULAR VIDRO DE 18W C/TEMPERATURA DE COR 4000° K</t>
  </si>
  <si>
    <t>21.11</t>
  </si>
  <si>
    <t>CABO DE COBRE FLEXÍVEL ISOLADO, 4 MM², ANTI-CHAMA 0,6/1,0 KV, PARA CIRCUITOS TERMINAIS - FORNECIMENTO E INSTALAÇÃO. AF_12/2015</t>
  </si>
  <si>
    <t>21.12</t>
  </si>
  <si>
    <t>09.09.083</t>
  </si>
  <si>
    <t>IL-83 ILUMINAÇÃO AUTONOMA DE EMERGÊNCIA - LED</t>
  </si>
  <si>
    <t>VALOR PLANILHA A:</t>
  </si>
  <si>
    <t xml:space="preserve">PLANILHA B - ITENS RECURSO PROPRIO DO MUNICIPIO </t>
  </si>
  <si>
    <t>PINTURA DE DEMARCAÇÃO DE QUADRA POLIESPORTIVA COM BORRACHA CLORADA, E = 5 CM, APLICAÇÃO MANUAL. AF_05/2021</t>
  </si>
  <si>
    <t>2.</t>
  </si>
  <si>
    <t xml:space="preserve">DRENAGEM QUADRA DE AREIA </t>
  </si>
  <si>
    <t>DRENO ESPINHA DE PEIXE (SEÇÃO (0,40 X 0,40 M), COM TUBO DE PEAD CORRUGADO PERFURADO, DN 100 MM, ENCHIMENTO COM BRITA, ENVOLVIDO COM MANTA GE
 OTÊXTIL, INCLUSIVE CONEXÕES. AF_07/2021</t>
  </si>
  <si>
    <t>ESCAVAÇÃO MANUAL DE VALA COM PROFUNDIDADE MENOR OU IGUAL A 1,30 M. AF_ 02/2021</t>
  </si>
  <si>
    <t>TUBO PVC, SÉRIE R, ÁGUA PLUVIAL, DN 100 MM, FORNECIDO E 
INSTALADO EM RAMAL DE ENCAMINHAMENTO. AF_12/2014</t>
  </si>
  <si>
    <t>2.4</t>
  </si>
  <si>
    <t>REATERRO MANUAL APILOADO COM SOQUETE. AF_10/2017</t>
  </si>
  <si>
    <t>2.5</t>
  </si>
  <si>
    <t>ENCHIMENTO DE BRITA PARA DRENO, LANÇAMENTO MANUAL. AF_07/2021</t>
  </si>
  <si>
    <t>2.6</t>
  </si>
  <si>
    <t>GEOTÊXTIL NÃO TECIDO 100% POLIÉSTER, RESISTÊNCIA A TRAÇÃO DE 9 
KN/M (RT - 9), INSTALADO EM DRENO - FORNECIMENTO E INSTALAÇÃO. 
AF_07/2021</t>
  </si>
  <si>
    <t>VALOR PLANILHA B:</t>
  </si>
  <si>
    <t>VALOR GLOBAL:</t>
  </si>
  <si>
    <t>ORLÂNDIA-SP, 13 DE SETEMBRO DE 2023</t>
  </si>
  <si>
    <t>___________________________________________________
Responsável Técnico
Leonardo Donizeti Alves
 CAU-SP: A83743-1</t>
  </si>
  <si>
    <t>CRONOGRAMA FÍSICO-FINANCEIRO</t>
  </si>
  <si>
    <t>DESCRIÇÃO</t>
  </si>
  <si>
    <t>BIMESTRE 1</t>
  </si>
  <si>
    <t>BIMESTRE 2</t>
  </si>
  <si>
    <t>BIMESTRE 3</t>
  </si>
  <si>
    <t>BIMESTRE 4</t>
  </si>
  <si>
    <t>BIMESTRE 5</t>
  </si>
  <si>
    <t>BIMESTRE 6</t>
  </si>
  <si>
    <t>%</t>
  </si>
  <si>
    <t>R$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</si>
  <si>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</si>
  <si>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</si>
  <si>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</si>
  <si>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</si>
  <si>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</si>
  <si>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</si>
  <si>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</si>
  <si>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</si>
  <si>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</si>
  <si>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</si>
  <si>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</si>
  <si>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</si>
  <si>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</si>
  <si>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</si>
  <si>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</si>
  <si>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</si>
  <si>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</si>
  <si>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</si>
  <si>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</si>
  <si>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TOTAL:</t>
  </si>
  <si>
    <t>PORCENTAGEM DE EXECUÇÃO:</t>
  </si>
  <si>
    <t>REPASSE:</t>
  </si>
  <si>
    <t>CONTRAPARTIDA:</t>
  </si>
  <si>
    <t>COMPOSIÇÃO DO BDI</t>
  </si>
  <si>
    <t xml:space="preserve"> TIPO DE OBRA DO EMPREENDIMENTO</t>
  </si>
  <si>
    <t>DESONERAÇÃO</t>
  </si>
  <si>
    <t>Construção e Reformas de Edifícios</t>
  </si>
  <si>
    <t>NÃO</t>
  </si>
  <si>
    <t>Conforme legislação tributária municipal, definir estimativa de percentual da base de cálculo para o ISS:</t>
  </si>
  <si>
    <t>Sobre a base de cálculo, definir a respectiva alíquota do ISS (entre 2% e 5%):</t>
  </si>
  <si>
    <t>Itens</t>
  </si>
  <si>
    <t>Siglas</t>
  </si>
  <si>
    <t>% Adotado</t>
  </si>
  <si>
    <t>1º Quartil</t>
  </si>
  <si>
    <t>Médio</t>
  </si>
  <si>
    <t>3º Quartil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</si>
  <si>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</si>
  <si>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</si>
  <si>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</si>
  <si>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</si>
  <si>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</si>
  <si>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</si>
  <si>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
(Fórmula Acórdão TCU)</t>
  </si>
  <si>
    <t>BDI PAD</t>
  </si>
  <si>
    <t xml:space="preserve"> </t>
  </si>
  <si>
    <t>Os valores de BDI foram calculados com o emprego da fórmula:</t>
  </si>
  <si>
    <t>Declaro para os devidos fins que, conforme legislação tributária municipal, a base de MERO FORNECIMENTO DE MATERIAIS EQUIPAMENTOS cálculo para é de 100%, com a respectiva alíquota de 2,00%."</t>
  </si>
  <si>
    <t>Declaro para os devidos fins que o regime de Contribuição Previdenciária sobre a Receita Bruta adotado para elaboração do orçamento foi SEM Desoneração, e que esta é a alternativa mais adequada para a Administração Pública.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</si>
</sst>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&quot;R$ &quot;* #,##0.00_-;&quot;-R$ &quot;* #,##0.00_-;_-&quot;R$ &quot;* \-??_-;_-@_-"/>
    <numFmt numFmtId="166" formatCode="&quot; R$ &quot;* #,##0.00\ ;&quot; R$ &quot;* \(#,##0.00\);&quot; R$ &quot;* \-#\ ;@\ "/>
    <numFmt numFmtId="167" formatCode="0%"/>
    <numFmt numFmtId="168" formatCode="_(* #,##0.00_);_(* \(#,##0.00\);_(* \-??_);_(@_)"/>
    <numFmt numFmtId="169" formatCode="_-* #,##0.00_-;\-* #,##0.00_-;_-* \-??_-;_-@_-"/>
    <numFmt numFmtId="170" formatCode="[$R$-416]\ #,##0.00;[RED]\-[$R$-416]\ #,##0.00"/>
    <numFmt numFmtId="171" formatCode="#,##0.0000"/>
    <numFmt numFmtId="172" formatCode="#,##0.00"/>
    <numFmt numFmtId="173" formatCode="0.00"/>
    <numFmt numFmtId="174" formatCode="0"/>
    <numFmt numFmtId="175" formatCode="0.00%"/>
    <numFmt numFmtId="176" formatCode="[$-416]0.00%"/>
    <numFmt numFmtId="177" formatCode="General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0"/>
    </font>
    <font>
      <sz val="7"/>
      <color indexed="8"/>
      <name val="Times New Roman"/>
      <family val="0"/>
    </font>
    <font>
      <b/>
      <sz val="10.5"/>
      <color indexed="8"/>
      <name val="Times New Roman"/>
      <family val="0"/>
    </font>
    <font>
      <sz val="7"/>
      <color indexed="8"/>
      <name val="Arial"/>
      <family val="0"/>
    </font>
    <font>
      <b/>
      <u val="single"/>
      <sz val="12"/>
      <color indexed="8"/>
      <name val="Times New Roman"/>
      <family val="1"/>
    </font>
    <font>
      <sz val="8"/>
      <color indexed="63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6"/>
      <name val="Calibri"/>
      <family val="2"/>
    </font>
    <font>
      <sz val="7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.5"/>
      <color indexed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2" fillId="0" borderId="0">
      <alignment vertical="top"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</cellStyleXfs>
  <cellXfs count="196">
    <xf numFmtId="164" fontId="0" fillId="0" borderId="0" xfId="0" applyAlignment="1">
      <alignment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horizontal="justify" vertical="center" wrapText="1"/>
    </xf>
    <xf numFmtId="170" fontId="5" fillId="0" borderId="0" xfId="0" applyNumberFormat="1" applyFont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164" fontId="0" fillId="0" borderId="0" xfId="0" applyFill="1" applyAlignment="1">
      <alignment/>
    </xf>
    <xf numFmtId="164" fontId="6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12" fillId="2" borderId="1" xfId="0" applyFont="1" applyFill="1" applyBorder="1" applyAlignment="1">
      <alignment horizontal="center" vertical="center"/>
    </xf>
    <xf numFmtId="164" fontId="13" fillId="3" borderId="1" xfId="0" applyFont="1" applyFill="1" applyBorder="1" applyAlignment="1">
      <alignment horizontal="center" vertical="center" wrapText="1"/>
    </xf>
    <xf numFmtId="164" fontId="13" fillId="3" borderId="1" xfId="0" applyFont="1" applyFill="1" applyBorder="1" applyAlignment="1">
      <alignment horizontal="justify" vertical="center" wrapText="1"/>
    </xf>
    <xf numFmtId="170" fontId="13" fillId="3" borderId="1" xfId="0" applyNumberFormat="1" applyFont="1" applyFill="1" applyBorder="1" applyAlignment="1">
      <alignment horizontal="center" vertical="center" wrapText="1"/>
    </xf>
    <xf numFmtId="171" fontId="13" fillId="3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wrapText="1"/>
    </xf>
    <xf numFmtId="164" fontId="14" fillId="4" borderId="2" xfId="0" applyFont="1" applyFill="1" applyBorder="1" applyAlignment="1">
      <alignment horizontal="center" vertical="center"/>
    </xf>
    <xf numFmtId="164" fontId="14" fillId="4" borderId="3" xfId="0" applyFont="1" applyFill="1" applyBorder="1" applyAlignment="1">
      <alignment horizontal="left" vertical="center"/>
    </xf>
    <xf numFmtId="170" fontId="14" fillId="4" borderId="4" xfId="0" applyNumberFormat="1" applyFont="1" applyFill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/>
    </xf>
    <xf numFmtId="164" fontId="15" fillId="0" borderId="1" xfId="0" applyFont="1" applyFill="1" applyBorder="1" applyAlignment="1">
      <alignment horizontal="justify" vertical="center" wrapText="1"/>
    </xf>
    <xf numFmtId="170" fontId="15" fillId="0" borderId="1" xfId="20" applyNumberFormat="1" applyFont="1" applyFill="1" applyBorder="1" applyAlignment="1" applyProtection="1">
      <alignment horizontal="center" vertical="center"/>
      <protection/>
    </xf>
    <xf numFmtId="171" fontId="15" fillId="0" borderId="1" xfId="20" applyNumberFormat="1" applyFont="1" applyFill="1" applyBorder="1" applyAlignment="1" applyProtection="1">
      <alignment horizontal="center" vertical="center"/>
      <protection/>
    </xf>
    <xf numFmtId="170" fontId="15" fillId="0" borderId="1" xfId="2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Fill="1" applyAlignment="1">
      <alignment/>
    </xf>
    <xf numFmtId="164" fontId="0" fillId="0" borderId="5" xfId="0" applyBorder="1" applyAlignment="1">
      <alignment/>
    </xf>
    <xf numFmtId="164" fontId="0" fillId="0" borderId="0" xfId="0" applyAlignment="1">
      <alignment wrapText="1"/>
    </xf>
    <xf numFmtId="170" fontId="14" fillId="4" borderId="4" xfId="20" applyNumberFormat="1" applyFont="1" applyFill="1" applyBorder="1" applyAlignment="1" applyProtection="1">
      <alignment horizontal="center" vertical="center"/>
      <protection/>
    </xf>
    <xf numFmtId="164" fontId="15" fillId="0" borderId="6" xfId="0" applyFont="1" applyFill="1" applyBorder="1" applyAlignment="1">
      <alignment horizontal="center" vertical="center"/>
    </xf>
    <xf numFmtId="164" fontId="15" fillId="0" borderId="6" xfId="0" applyFont="1" applyFill="1" applyBorder="1" applyAlignment="1">
      <alignment horizontal="justify" vertical="center" wrapText="1"/>
    </xf>
    <xf numFmtId="170" fontId="15" fillId="0" borderId="6" xfId="20" applyNumberFormat="1" applyFont="1" applyFill="1" applyBorder="1" applyAlignment="1" applyProtection="1">
      <alignment horizontal="center" vertical="center"/>
      <protection/>
    </xf>
    <xf numFmtId="171" fontId="15" fillId="0" borderId="6" xfId="20" applyNumberFormat="1" applyFont="1" applyFill="1" applyBorder="1" applyAlignment="1" applyProtection="1">
      <alignment horizontal="center" vertical="center"/>
      <protection/>
    </xf>
    <xf numFmtId="170" fontId="15" fillId="0" borderId="6" xfId="20" applyNumberFormat="1" applyFont="1" applyFill="1" applyBorder="1" applyAlignment="1" applyProtection="1">
      <alignment horizontal="center" vertical="center"/>
      <protection/>
    </xf>
    <xf numFmtId="164" fontId="15" fillId="5" borderId="5" xfId="0" applyFont="1" applyFill="1" applyBorder="1" applyAlignment="1">
      <alignment horizontal="center" vertical="center"/>
    </xf>
    <xf numFmtId="164" fontId="15" fillId="5" borderId="5" xfId="0" applyFont="1" applyFill="1" applyBorder="1" applyAlignment="1">
      <alignment horizontal="justify" vertical="center" wrapText="1"/>
    </xf>
    <xf numFmtId="170" fontId="15" fillId="5" borderId="5" xfId="20" applyNumberFormat="1" applyFont="1" applyFill="1" applyBorder="1" applyAlignment="1" applyProtection="1">
      <alignment horizontal="center" vertical="center"/>
      <protection/>
    </xf>
    <xf numFmtId="171" fontId="15" fillId="5" borderId="5" xfId="20" applyNumberFormat="1" applyFont="1" applyFill="1" applyBorder="1" applyAlignment="1" applyProtection="1">
      <alignment horizontal="center" vertical="center"/>
      <protection/>
    </xf>
    <xf numFmtId="170" fontId="15" fillId="5" borderId="5" xfId="20" applyNumberFormat="1" applyFont="1" applyFill="1" applyBorder="1" applyAlignment="1" applyProtection="1">
      <alignment horizontal="center" vertical="center"/>
      <protection/>
    </xf>
    <xf numFmtId="164" fontId="15" fillId="0" borderId="7" xfId="0" applyFont="1" applyFill="1" applyBorder="1" applyAlignment="1">
      <alignment horizontal="center" vertical="center"/>
    </xf>
    <xf numFmtId="164" fontId="15" fillId="0" borderId="7" xfId="0" applyFont="1" applyFill="1" applyBorder="1" applyAlignment="1">
      <alignment horizontal="justify" vertical="center" wrapText="1"/>
    </xf>
    <xf numFmtId="170" fontId="15" fillId="0" borderId="7" xfId="20" applyNumberFormat="1" applyFont="1" applyFill="1" applyBorder="1" applyAlignment="1" applyProtection="1">
      <alignment horizontal="center" vertical="center"/>
      <protection/>
    </xf>
    <xf numFmtId="171" fontId="15" fillId="0" borderId="7" xfId="20" applyNumberFormat="1" applyFont="1" applyFill="1" applyBorder="1" applyAlignment="1" applyProtection="1">
      <alignment horizontal="center" vertical="center"/>
      <protection/>
    </xf>
    <xf numFmtId="170" fontId="15" fillId="0" borderId="7" xfId="20" applyNumberFormat="1" applyFont="1" applyFill="1" applyBorder="1" applyAlignment="1" applyProtection="1">
      <alignment horizontal="center" vertical="center"/>
      <protection/>
    </xf>
    <xf numFmtId="164" fontId="14" fillId="6" borderId="2" xfId="0" applyFont="1" applyFill="1" applyBorder="1" applyAlignment="1">
      <alignment horizontal="center" vertical="center"/>
    </xf>
    <xf numFmtId="164" fontId="14" fillId="6" borderId="3" xfId="0" applyFont="1" applyFill="1" applyBorder="1" applyAlignment="1">
      <alignment horizontal="left" vertical="center"/>
    </xf>
    <xf numFmtId="170" fontId="14" fillId="6" borderId="4" xfId="20" applyNumberFormat="1" applyFont="1" applyFill="1" applyBorder="1" applyAlignment="1" applyProtection="1">
      <alignment horizontal="center" vertical="center"/>
      <protection/>
    </xf>
    <xf numFmtId="164" fontId="15" fillId="0" borderId="5" xfId="0" applyFont="1" applyFill="1" applyBorder="1" applyAlignment="1">
      <alignment horizontal="center" vertical="center"/>
    </xf>
    <xf numFmtId="164" fontId="15" fillId="0" borderId="5" xfId="0" applyFont="1" applyFill="1" applyBorder="1" applyAlignment="1">
      <alignment horizontal="justify" vertical="center" wrapText="1"/>
    </xf>
    <xf numFmtId="170" fontId="15" fillId="0" borderId="5" xfId="20" applyNumberFormat="1" applyFont="1" applyFill="1" applyBorder="1" applyAlignment="1" applyProtection="1">
      <alignment horizontal="center" vertical="center"/>
      <protection/>
    </xf>
    <xf numFmtId="171" fontId="15" fillId="0" borderId="5" xfId="20" applyNumberFormat="1" applyFont="1" applyFill="1" applyBorder="1" applyAlignment="1" applyProtection="1">
      <alignment horizontal="center" vertical="center"/>
      <protection/>
    </xf>
    <xf numFmtId="170" fontId="15" fillId="0" borderId="5" xfId="20" applyNumberFormat="1" applyFont="1" applyFill="1" applyBorder="1" applyAlignment="1" applyProtection="1">
      <alignment horizontal="center" vertical="center"/>
      <protection/>
    </xf>
    <xf numFmtId="164" fontId="15" fillId="5" borderId="7" xfId="0" applyFont="1" applyFill="1" applyBorder="1" applyAlignment="1">
      <alignment horizontal="center" vertical="center"/>
    </xf>
    <xf numFmtId="164" fontId="15" fillId="5" borderId="7" xfId="0" applyFont="1" applyFill="1" applyBorder="1" applyAlignment="1">
      <alignment horizontal="justify" vertical="center" wrapText="1"/>
    </xf>
    <xf numFmtId="170" fontId="15" fillId="5" borderId="7" xfId="20" applyNumberFormat="1" applyFont="1" applyFill="1" applyBorder="1" applyAlignment="1" applyProtection="1">
      <alignment horizontal="center" vertical="center"/>
      <protection/>
    </xf>
    <xf numFmtId="171" fontId="15" fillId="5" borderId="7" xfId="20" applyNumberFormat="1" applyFont="1" applyFill="1" applyBorder="1" applyAlignment="1" applyProtection="1">
      <alignment horizontal="center" vertical="center"/>
      <protection/>
    </xf>
    <xf numFmtId="170" fontId="15" fillId="5" borderId="7" xfId="20" applyNumberFormat="1" applyFont="1" applyFill="1" applyBorder="1" applyAlignment="1" applyProtection="1">
      <alignment horizontal="center" vertical="center"/>
      <protection/>
    </xf>
    <xf numFmtId="164" fontId="14" fillId="6" borderId="8" xfId="0" applyFont="1" applyFill="1" applyBorder="1" applyAlignment="1">
      <alignment horizontal="center" vertical="center"/>
    </xf>
    <xf numFmtId="164" fontId="14" fillId="6" borderId="0" xfId="0" applyFont="1" applyFill="1" applyBorder="1" applyAlignment="1">
      <alignment horizontal="left" vertical="center"/>
    </xf>
    <xf numFmtId="170" fontId="14" fillId="6" borderId="9" xfId="20" applyNumberFormat="1" applyFont="1" applyFill="1" applyBorder="1" applyAlignment="1" applyProtection="1">
      <alignment horizontal="center" vertical="center"/>
      <protection/>
    </xf>
    <xf numFmtId="164" fontId="15" fillId="5" borderId="6" xfId="0" applyFont="1" applyFill="1" applyBorder="1" applyAlignment="1">
      <alignment horizontal="center" vertical="center"/>
    </xf>
    <xf numFmtId="164" fontId="15" fillId="5" borderId="6" xfId="0" applyFont="1" applyFill="1" applyBorder="1" applyAlignment="1">
      <alignment horizontal="justify" vertical="center" wrapText="1"/>
    </xf>
    <xf numFmtId="170" fontId="15" fillId="5" borderId="6" xfId="20" applyNumberFormat="1" applyFont="1" applyFill="1" applyBorder="1" applyAlignment="1" applyProtection="1">
      <alignment horizontal="center" vertical="center"/>
      <protection/>
    </xf>
    <xf numFmtId="171" fontId="15" fillId="5" borderId="6" xfId="20" applyNumberFormat="1" applyFont="1" applyFill="1" applyBorder="1" applyAlignment="1" applyProtection="1">
      <alignment horizontal="center" vertical="center"/>
      <protection/>
    </xf>
    <xf numFmtId="170" fontId="15" fillId="5" borderId="6" xfId="20" applyNumberFormat="1" applyFont="1" applyFill="1" applyBorder="1" applyAlignment="1" applyProtection="1">
      <alignment horizontal="center" vertical="center"/>
      <protection/>
    </xf>
    <xf numFmtId="164" fontId="15" fillId="0" borderId="6" xfId="0" applyFont="1" applyFill="1" applyBorder="1" applyAlignment="1">
      <alignment horizontal="center" vertical="center" wrapText="1"/>
    </xf>
    <xf numFmtId="164" fontId="15" fillId="0" borderId="5" xfId="0" applyFont="1" applyFill="1" applyBorder="1" applyAlignment="1">
      <alignment horizontal="center" vertical="center" wrapText="1"/>
    </xf>
    <xf numFmtId="164" fontId="15" fillId="5" borderId="5" xfId="0" applyFont="1" applyFill="1" applyBorder="1" applyAlignment="1">
      <alignment horizontal="center" vertical="center" wrapText="1"/>
    </xf>
    <xf numFmtId="164" fontId="0" fillId="0" borderId="5" xfId="0" applyFill="1" applyBorder="1" applyAlignment="1">
      <alignment/>
    </xf>
    <xf numFmtId="164" fontId="15" fillId="5" borderId="5" xfId="23" applyFont="1" applyFill="1" applyBorder="1" applyAlignment="1">
      <alignment horizontal="center" vertical="center"/>
      <protection/>
    </xf>
    <xf numFmtId="164" fontId="15" fillId="5" borderId="5" xfId="23" applyFont="1" applyFill="1" applyBorder="1" applyAlignment="1">
      <alignment horizontal="justify" vertical="center" wrapText="1"/>
      <protection/>
    </xf>
    <xf numFmtId="164" fontId="0" fillId="7" borderId="0" xfId="0" applyFill="1" applyAlignment="1">
      <alignment/>
    </xf>
    <xf numFmtId="170" fontId="15" fillId="5" borderId="5" xfId="20" applyNumberFormat="1" applyFont="1" applyFill="1" applyBorder="1" applyAlignment="1" applyProtection="1">
      <alignment horizontal="center" vertical="center" wrapText="1"/>
      <protection/>
    </xf>
    <xf numFmtId="164" fontId="14" fillId="4" borderId="2" xfId="0" applyFont="1" applyFill="1" applyBorder="1" applyAlignment="1">
      <alignment horizontal="center" vertical="center" wrapText="1"/>
    </xf>
    <xf numFmtId="164" fontId="14" fillId="4" borderId="3" xfId="0" applyFont="1" applyFill="1" applyBorder="1" applyAlignment="1">
      <alignment horizontal="left" vertical="center" wrapText="1"/>
    </xf>
    <xf numFmtId="164" fontId="16" fillId="0" borderId="6" xfId="0" applyFont="1" applyFill="1" applyBorder="1" applyAlignment="1">
      <alignment horizontal="center" vertical="center"/>
    </xf>
    <xf numFmtId="164" fontId="15" fillId="0" borderId="6" xfId="0" applyFont="1" applyFill="1" applyBorder="1" applyAlignment="1">
      <alignment horizontal="justify"/>
    </xf>
    <xf numFmtId="172" fontId="16" fillId="0" borderId="6" xfId="0" applyNumberFormat="1" applyFont="1" applyFill="1" applyBorder="1" applyAlignment="1">
      <alignment horizontal="center" vertical="center" wrapText="1"/>
    </xf>
    <xf numFmtId="173" fontId="16" fillId="0" borderId="6" xfId="0" applyNumberFormat="1" applyFont="1" applyFill="1" applyBorder="1" applyAlignment="1">
      <alignment horizontal="center" vertical="center" wrapText="1"/>
    </xf>
    <xf numFmtId="170" fontId="15" fillId="0" borderId="6" xfId="20" applyNumberFormat="1" applyFont="1" applyFill="1" applyBorder="1" applyAlignment="1" applyProtection="1">
      <alignment horizontal="center" vertical="center" wrapText="1"/>
      <protection/>
    </xf>
    <xf numFmtId="173" fontId="16" fillId="5" borderId="5" xfId="0" applyNumberFormat="1" applyFont="1" applyFill="1" applyBorder="1" applyAlignment="1">
      <alignment horizontal="center" vertical="center" wrapText="1"/>
    </xf>
    <xf numFmtId="173" fontId="16" fillId="0" borderId="5" xfId="0" applyNumberFormat="1" applyFont="1" applyFill="1" applyBorder="1" applyAlignment="1">
      <alignment horizontal="center" vertical="center" wrapText="1"/>
    </xf>
    <xf numFmtId="170" fontId="15" fillId="0" borderId="5" xfId="20" applyNumberFormat="1" applyFont="1" applyFill="1" applyBorder="1" applyAlignment="1" applyProtection="1">
      <alignment horizontal="center" vertical="center" wrapText="1"/>
      <protection/>
    </xf>
    <xf numFmtId="174" fontId="15" fillId="5" borderId="5" xfId="0" applyNumberFormat="1" applyFont="1" applyFill="1" applyBorder="1" applyAlignment="1">
      <alignment horizontal="center" vertical="center" wrapText="1"/>
    </xf>
    <xf numFmtId="174" fontId="15" fillId="0" borderId="5" xfId="0" applyNumberFormat="1" applyFont="1" applyFill="1" applyBorder="1" applyAlignment="1">
      <alignment horizontal="center" vertical="center" wrapText="1"/>
    </xf>
    <xf numFmtId="173" fontId="15" fillId="5" borderId="5" xfId="0" applyNumberFormat="1" applyFont="1" applyFill="1" applyBorder="1" applyAlignment="1">
      <alignment horizontal="center" vertical="center" wrapText="1"/>
    </xf>
    <xf numFmtId="173" fontId="15" fillId="0" borderId="5" xfId="0" applyNumberFormat="1" applyFont="1" applyFill="1" applyBorder="1" applyAlignment="1">
      <alignment horizontal="center" vertical="center" wrapText="1"/>
    </xf>
    <xf numFmtId="164" fontId="15" fillId="0" borderId="7" xfId="0" applyFont="1" applyFill="1" applyBorder="1" applyAlignment="1">
      <alignment horizontal="center" vertical="center" wrapText="1"/>
    </xf>
    <xf numFmtId="174" fontId="15" fillId="0" borderId="7" xfId="0" applyNumberFormat="1" applyFont="1" applyFill="1" applyBorder="1" applyAlignment="1">
      <alignment horizontal="center" vertical="center" wrapText="1"/>
    </xf>
    <xf numFmtId="173" fontId="16" fillId="0" borderId="7" xfId="0" applyNumberFormat="1" applyFont="1" applyFill="1" applyBorder="1" applyAlignment="1">
      <alignment horizontal="center" vertical="center" wrapText="1"/>
    </xf>
    <xf numFmtId="170" fontId="15" fillId="0" borderId="7" xfId="20" applyNumberFormat="1" applyFont="1" applyFill="1" applyBorder="1" applyAlignment="1" applyProtection="1">
      <alignment horizontal="center" vertical="center" wrapText="1"/>
      <protection/>
    </xf>
    <xf numFmtId="164" fontId="16" fillId="0" borderId="6" xfId="0" applyFont="1" applyFill="1" applyBorder="1" applyAlignment="1">
      <alignment horizontal="center" vertical="center" wrapText="1"/>
    </xf>
    <xf numFmtId="174" fontId="15" fillId="0" borderId="6" xfId="0" applyNumberFormat="1" applyFont="1" applyFill="1" applyBorder="1" applyAlignment="1">
      <alignment horizontal="center" vertical="center" wrapText="1"/>
    </xf>
    <xf numFmtId="164" fontId="16" fillId="5" borderId="5" xfId="0" applyFont="1" applyFill="1" applyBorder="1" applyAlignment="1">
      <alignment horizontal="center" vertical="center" wrapText="1"/>
    </xf>
    <xf numFmtId="164" fontId="16" fillId="0" borderId="5" xfId="0" applyFont="1" applyFill="1" applyBorder="1" applyAlignment="1">
      <alignment horizontal="center" vertical="center" wrapText="1"/>
    </xf>
    <xf numFmtId="164" fontId="16" fillId="5" borderId="7" xfId="0" applyFont="1" applyFill="1" applyBorder="1" applyAlignment="1">
      <alignment horizontal="center" vertical="center" wrapText="1"/>
    </xf>
    <xf numFmtId="164" fontId="15" fillId="5" borderId="7" xfId="0" applyFont="1" applyFill="1" applyBorder="1" applyAlignment="1">
      <alignment horizontal="center" vertical="center" wrapText="1"/>
    </xf>
    <xf numFmtId="174" fontId="15" fillId="5" borderId="7" xfId="0" applyNumberFormat="1" applyFont="1" applyFill="1" applyBorder="1" applyAlignment="1">
      <alignment horizontal="center" vertical="center" wrapText="1"/>
    </xf>
    <xf numFmtId="173" fontId="16" fillId="5" borderId="7" xfId="0" applyNumberFormat="1" applyFont="1" applyFill="1" applyBorder="1" applyAlignment="1">
      <alignment horizontal="center" vertical="center" wrapText="1"/>
    </xf>
    <xf numFmtId="170" fontId="15" fillId="5" borderId="7" xfId="20" applyNumberFormat="1" applyFont="1" applyFill="1" applyBorder="1" applyAlignment="1" applyProtection="1">
      <alignment horizontal="center" vertical="center" wrapText="1"/>
      <protection/>
    </xf>
    <xf numFmtId="164" fontId="17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justify" vertical="center" wrapText="1"/>
    </xf>
    <xf numFmtId="170" fontId="13" fillId="8" borderId="1" xfId="0" applyNumberFormat="1" applyFont="1" applyFill="1" applyBorder="1" applyAlignment="1">
      <alignment horizontal="right" vertical="center"/>
    </xf>
    <xf numFmtId="170" fontId="13" fillId="8" borderId="1" xfId="0" applyNumberFormat="1" applyFont="1" applyFill="1" applyBorder="1" applyAlignment="1">
      <alignment horizontal="center" vertical="center"/>
    </xf>
    <xf numFmtId="170" fontId="17" fillId="0" borderId="0" xfId="0" applyNumberFormat="1" applyFont="1" applyFill="1" applyAlignment="1">
      <alignment horizontal="center" vertical="center"/>
    </xf>
    <xf numFmtId="171" fontId="17" fillId="0" borderId="0" xfId="0" applyNumberFormat="1" applyFont="1" applyFill="1" applyAlignment="1">
      <alignment horizontal="center" vertical="center"/>
    </xf>
    <xf numFmtId="170" fontId="13" fillId="0" borderId="0" xfId="0" applyNumberFormat="1" applyFont="1" applyFill="1" applyBorder="1" applyAlignment="1">
      <alignment horizontal="center" vertical="center"/>
    </xf>
    <xf numFmtId="164" fontId="12" fillId="9" borderId="1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justify" vertical="center" wrapText="1"/>
    </xf>
    <xf numFmtId="170" fontId="13" fillId="10" borderId="1" xfId="0" applyNumberFormat="1" applyFont="1" applyFill="1" applyBorder="1" applyAlignment="1">
      <alignment horizontal="center" vertical="center"/>
    </xf>
    <xf numFmtId="171" fontId="13" fillId="10" borderId="1" xfId="0" applyNumberFormat="1" applyFont="1" applyFill="1" applyBorder="1" applyAlignment="1">
      <alignment horizontal="center" vertical="center"/>
    </xf>
    <xf numFmtId="164" fontId="14" fillId="11" borderId="2" xfId="0" applyFont="1" applyFill="1" applyBorder="1" applyAlignment="1">
      <alignment horizontal="center" vertical="center"/>
    </xf>
    <xf numFmtId="164" fontId="14" fillId="11" borderId="3" xfId="0" applyFont="1" applyFill="1" applyBorder="1" applyAlignment="1">
      <alignment horizontal="left" vertical="center"/>
    </xf>
    <xf numFmtId="170" fontId="14" fillId="11" borderId="4" xfId="0" applyNumberFormat="1" applyFont="1" applyFill="1" applyBorder="1" applyAlignment="1">
      <alignment horizontal="center" vertical="center"/>
    </xf>
    <xf numFmtId="164" fontId="14" fillId="11" borderId="8" xfId="0" applyFont="1" applyFill="1" applyBorder="1" applyAlignment="1">
      <alignment horizontal="center" vertical="center"/>
    </xf>
    <xf numFmtId="164" fontId="14" fillId="11" borderId="0" xfId="0" applyFont="1" applyFill="1" applyBorder="1" applyAlignment="1">
      <alignment horizontal="left" vertical="center"/>
    </xf>
    <xf numFmtId="170" fontId="14" fillId="11" borderId="9" xfId="0" applyNumberFormat="1" applyFont="1" applyFill="1" applyBorder="1" applyAlignment="1">
      <alignment horizontal="center" vertical="center"/>
    </xf>
    <xf numFmtId="164" fontId="0" fillId="12" borderId="0" xfId="0" applyFill="1" applyAlignment="1">
      <alignment/>
    </xf>
    <xf numFmtId="170" fontId="13" fillId="11" borderId="1" xfId="0" applyNumberFormat="1" applyFont="1" applyFill="1" applyBorder="1" applyAlignment="1">
      <alignment horizontal="right" vertical="center"/>
    </xf>
    <xf numFmtId="170" fontId="13" fillId="11" borderId="1" xfId="0" applyNumberFormat="1" applyFont="1" applyFill="1" applyBorder="1" applyAlignment="1">
      <alignment horizontal="center" vertical="center"/>
    </xf>
    <xf numFmtId="170" fontId="12" fillId="13" borderId="1" xfId="0" applyNumberFormat="1" applyFont="1" applyFill="1" applyBorder="1" applyAlignment="1">
      <alignment horizontal="right" vertical="center"/>
    </xf>
    <xf numFmtId="170" fontId="12" fillId="13" borderId="1" xfId="0" applyNumberFormat="1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right" vertical="center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/>
    </xf>
    <xf numFmtId="164" fontId="17" fillId="0" borderId="0" xfId="0" applyFont="1" applyAlignment="1">
      <alignment wrapText="1"/>
    </xf>
    <xf numFmtId="164" fontId="10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18" fillId="14" borderId="10" xfId="0" applyNumberFormat="1" applyFont="1" applyFill="1" applyBorder="1" applyAlignment="1">
      <alignment horizontal="center" vertical="center"/>
    </xf>
    <xf numFmtId="173" fontId="18" fillId="14" borderId="10" xfId="0" applyNumberFormat="1" applyFont="1" applyFill="1" applyBorder="1" applyAlignment="1">
      <alignment horizontal="center" vertical="center" wrapText="1"/>
    </xf>
    <xf numFmtId="164" fontId="18" fillId="2" borderId="2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0" fontId="19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164" fontId="19" fillId="15" borderId="10" xfId="0" applyNumberFormat="1" applyFont="1" applyFill="1" applyBorder="1" applyAlignment="1">
      <alignment horizontal="center" vertical="center"/>
    </xf>
    <xf numFmtId="173" fontId="19" fillId="15" borderId="10" xfId="0" applyNumberFormat="1" applyFont="1" applyFill="1" applyBorder="1" applyAlignment="1">
      <alignment horizontal="center" vertical="center" wrapText="1"/>
    </xf>
    <xf numFmtId="164" fontId="5" fillId="15" borderId="10" xfId="0" applyNumberFormat="1" applyFont="1" applyFill="1" applyBorder="1" applyAlignment="1">
      <alignment horizontal="center" vertical="center"/>
    </xf>
    <xf numFmtId="175" fontId="5" fillId="15" borderId="10" xfId="0" applyNumberFormat="1" applyFont="1" applyFill="1" applyBorder="1" applyAlignment="1">
      <alignment horizontal="center" vertical="center"/>
    </xf>
    <xf numFmtId="176" fontId="5" fillId="15" borderId="10" xfId="0" applyNumberFormat="1" applyFont="1" applyFill="1" applyBorder="1" applyAlignment="1">
      <alignment horizontal="center" vertical="center"/>
    </xf>
    <xf numFmtId="170" fontId="19" fillId="15" borderId="10" xfId="0" applyNumberFormat="1" applyFont="1" applyFill="1" applyBorder="1" applyAlignment="1">
      <alignment horizontal="center" vertical="center"/>
    </xf>
    <xf numFmtId="170" fontId="5" fillId="15" borderId="10" xfId="0" applyNumberFormat="1" applyFont="1" applyFill="1" applyBorder="1" applyAlignment="1">
      <alignment horizontal="center" vertical="center"/>
    </xf>
    <xf numFmtId="164" fontId="19" fillId="5" borderId="10" xfId="0" applyNumberFormat="1" applyFont="1" applyFill="1" applyBorder="1" applyAlignment="1">
      <alignment horizontal="center" vertical="center"/>
    </xf>
    <xf numFmtId="173" fontId="19" fillId="5" borderId="10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/>
    </xf>
    <xf numFmtId="175" fontId="5" fillId="5" borderId="10" xfId="0" applyNumberFormat="1" applyFont="1" applyFill="1" applyBorder="1" applyAlignment="1">
      <alignment horizontal="center" vertical="center"/>
    </xf>
    <xf numFmtId="176" fontId="5" fillId="5" borderId="10" xfId="0" applyNumberFormat="1" applyFont="1" applyFill="1" applyBorder="1" applyAlignment="1">
      <alignment horizontal="center" vertical="center"/>
    </xf>
    <xf numFmtId="170" fontId="19" fillId="5" borderId="10" xfId="0" applyNumberFormat="1" applyFont="1" applyFill="1" applyBorder="1" applyAlignment="1">
      <alignment horizontal="center" vertical="center"/>
    </xf>
    <xf numFmtId="170" fontId="5" fillId="5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8" fillId="16" borderId="2" xfId="0" applyFont="1" applyFill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19" fillId="4" borderId="1" xfId="0" applyFont="1" applyFill="1" applyBorder="1" applyAlignment="1">
      <alignment horizontal="right" vertical="center" wrapText="1"/>
    </xf>
    <xf numFmtId="170" fontId="5" fillId="4" borderId="1" xfId="0" applyNumberFormat="1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19" fillId="0" borderId="1" xfId="0" applyFont="1" applyBorder="1" applyAlignment="1">
      <alignment horizontal="right" vertical="center" wrapText="1"/>
    </xf>
    <xf numFmtId="175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164" fontId="19" fillId="6" borderId="1" xfId="0" applyFont="1" applyFill="1" applyBorder="1" applyAlignment="1">
      <alignment horizontal="right" vertical="center" wrapText="1"/>
    </xf>
    <xf numFmtId="170" fontId="5" fillId="6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 wrapText="1"/>
    </xf>
    <xf numFmtId="164" fontId="5" fillId="0" borderId="0" xfId="0" applyFont="1" applyBorder="1" applyAlignment="1">
      <alignment horizontal="right"/>
    </xf>
    <xf numFmtId="164" fontId="6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 vertical="top"/>
    </xf>
    <xf numFmtId="164" fontId="20" fillId="15" borderId="10" xfId="28" applyFont="1" applyFill="1" applyBorder="1" applyAlignment="1" applyProtection="1">
      <alignment horizontal="left" vertical="top"/>
      <protection/>
    </xf>
    <xf numFmtId="164" fontId="20" fillId="15" borderId="10" xfId="28" applyFont="1" applyFill="1" applyBorder="1" applyAlignment="1" applyProtection="1">
      <alignment horizontal="center" vertical="top"/>
      <protection/>
    </xf>
    <xf numFmtId="166" fontId="5" fillId="0" borderId="10" xfId="21" applyFont="1" applyFill="1" applyBorder="1" applyAlignment="1" applyProtection="1">
      <alignment/>
      <protection/>
    </xf>
    <xf numFmtId="164" fontId="21" fillId="0" borderId="10" xfId="22" applyFont="1" applyFill="1" applyBorder="1" applyAlignment="1" applyProtection="1">
      <alignment horizontal="center" vertical="top" wrapText="1"/>
      <protection/>
    </xf>
    <xf numFmtId="164" fontId="21" fillId="0" borderId="11" xfId="22" applyFont="1" applyFill="1" applyBorder="1" applyProtection="1">
      <alignment vertical="top"/>
      <protection/>
    </xf>
    <xf numFmtId="164" fontId="21" fillId="0" borderId="0" xfId="22" applyFont="1" applyFill="1" applyProtection="1">
      <alignment vertical="top"/>
      <protection/>
    </xf>
    <xf numFmtId="164" fontId="21" fillId="0" borderId="12" xfId="22" applyFont="1" applyFill="1" applyBorder="1" applyProtection="1">
      <alignment vertical="top"/>
      <protection/>
    </xf>
    <xf numFmtId="164" fontId="21" fillId="0" borderId="13" xfId="22" applyFont="1" applyFill="1" applyBorder="1" applyAlignment="1" applyProtection="1">
      <alignment horizontal="left" wrapText="1"/>
      <protection/>
    </xf>
    <xf numFmtId="175" fontId="21" fillId="0" borderId="14" xfId="22" applyNumberFormat="1" applyFont="1" applyFill="1" applyBorder="1" applyAlignment="1" applyProtection="1">
      <alignment horizontal="center"/>
      <protection locked="0"/>
    </xf>
    <xf numFmtId="164" fontId="21" fillId="0" borderId="13" xfId="22" applyFont="1" applyFill="1" applyBorder="1" applyAlignment="1" applyProtection="1">
      <alignment horizontal="left"/>
      <protection/>
    </xf>
    <xf numFmtId="164" fontId="20" fillId="15" borderId="13" xfId="22" applyFont="1" applyFill="1" applyBorder="1" applyAlignment="1" applyProtection="1">
      <alignment horizontal="center" vertical="center"/>
      <protection/>
    </xf>
    <xf numFmtId="164" fontId="20" fillId="15" borderId="1" xfId="22" applyFont="1" applyFill="1" applyBorder="1" applyAlignment="1" applyProtection="1">
      <alignment horizontal="center" vertical="center"/>
      <protection/>
    </xf>
    <xf numFmtId="172" fontId="20" fillId="15" borderId="1" xfId="22" applyNumberFormat="1" applyFont="1" applyFill="1" applyBorder="1" applyAlignment="1" applyProtection="1">
      <alignment horizontal="center" vertical="center" wrapText="1"/>
      <protection/>
    </xf>
    <xf numFmtId="164" fontId="20" fillId="15" borderId="14" xfId="22" applyFont="1" applyFill="1" applyBorder="1" applyAlignment="1" applyProtection="1">
      <alignment horizontal="center" vertical="center"/>
      <protection/>
    </xf>
    <xf numFmtId="164" fontId="21" fillId="0" borderId="10" xfId="22" applyNumberFormat="1" applyFont="1" applyFill="1" applyBorder="1" applyAlignment="1" applyProtection="1">
      <alignment horizontal="left" vertical="center" wrapText="1"/>
      <protection/>
    </xf>
    <xf numFmtId="164" fontId="21" fillId="0" borderId="10" xfId="22" applyNumberFormat="1" applyFont="1" applyFill="1" applyBorder="1" applyAlignment="1" applyProtection="1">
      <alignment horizontal="center" vertical="center"/>
      <protection/>
    </xf>
    <xf numFmtId="175" fontId="21" fillId="0" borderId="10" xfId="22" applyNumberFormat="1" applyFont="1" applyFill="1" applyBorder="1" applyAlignment="1" applyProtection="1">
      <alignment horizontal="center" vertical="center"/>
      <protection locked="0"/>
    </xf>
    <xf numFmtId="175" fontId="5" fillId="0" borderId="10" xfId="22" applyNumberFormat="1" applyFont="1" applyBorder="1" applyAlignment="1">
      <alignment horizontal="center" vertical="top"/>
      <protection/>
    </xf>
    <xf numFmtId="175" fontId="21" fillId="0" borderId="10" xfId="22" applyNumberFormat="1" applyFont="1" applyFill="1" applyBorder="1" applyAlignment="1" applyProtection="1">
      <alignment horizontal="center" vertical="center"/>
      <protection/>
    </xf>
    <xf numFmtId="164" fontId="21" fillId="0" borderId="10" xfId="22" applyFont="1" applyFill="1" applyBorder="1" applyAlignment="1" applyProtection="1">
      <alignment horizontal="left" vertical="center"/>
      <protection/>
    </xf>
    <xf numFmtId="175" fontId="21" fillId="0" borderId="10" xfId="22" applyNumberFormat="1" applyFont="1" applyFill="1" applyBorder="1" applyAlignment="1" applyProtection="1">
      <alignment horizontal="center" vertical="center" wrapText="1"/>
      <protection/>
    </xf>
    <xf numFmtId="164" fontId="20" fillId="15" borderId="10" xfId="22" applyFont="1" applyFill="1" applyBorder="1" applyAlignment="1" applyProtection="1">
      <alignment horizontal="left" vertical="center" wrapText="1"/>
      <protection/>
    </xf>
    <xf numFmtId="164" fontId="20" fillId="15" borderId="10" xfId="22" applyFont="1" applyFill="1" applyBorder="1" applyAlignment="1" applyProtection="1">
      <alignment horizontal="center" vertical="center" wrapText="1"/>
      <protection/>
    </xf>
    <xf numFmtId="175" fontId="20" fillId="15" borderId="10" xfId="22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wrapText="1"/>
    </xf>
    <xf numFmtId="164" fontId="5" fillId="0" borderId="0" xfId="0" applyFont="1" applyBorder="1" applyAlignment="1">
      <alignment horizontal="right" vertic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Moeda_Composicao BDI v2.1" xfId="21"/>
    <cellStyle name="Normal 2" xfId="22"/>
    <cellStyle name="Normal 2 2" xfId="23"/>
    <cellStyle name="Normal 2 2 2" xfId="24"/>
    <cellStyle name="Normal 3" xfId="25"/>
    <cellStyle name="Normal 4" xfId="26"/>
    <cellStyle name="Normal 4 2" xfId="27"/>
    <cellStyle name="Normal_FICHA DE VERIFICAÇÃO PRELIMINAR - Plano R" xfId="28"/>
    <cellStyle name="Porcentagem 2" xfId="29"/>
    <cellStyle name="Porcentagem 3" xfId="30"/>
    <cellStyle name="Separador de milhares 2 2" xfId="31"/>
    <cellStyle name="Vírgula 2" xfId="32"/>
    <cellStyle name="Vírgula 3" xfId="33"/>
  </cellStyles>
  <dxfs count="2">
    <dxf>
      <font>
        <b/>
        <i val="0"/>
        <sz val="11"/>
        <color rgb="FF000000"/>
      </font>
      <fill>
        <patternFill patternType="solid">
          <fgColor rgb="FFDDDDDD"/>
          <bgColor rgb="FFE3E3E3"/>
        </patternFill>
      </fill>
      <border/>
    </dxf>
    <dxf>
      <font>
        <b val="0"/>
        <sz val="11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CC"/>
      <rgbColor rgb="00E3E3E3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DDE8CB"/>
      <rgbColor rgb="00FFFF99"/>
      <rgbColor rgb="0099CCFF"/>
      <rgbColor rgb="00FFB66C"/>
      <rgbColor rgb="00CC99FF"/>
      <rgbColor rgb="00FFCC99"/>
      <rgbColor rgb="001E90FF"/>
      <rgbColor rgb="0033CCCC"/>
      <rgbColor rgb="00BBE33D"/>
      <rgbColor rgb="00FFCC00"/>
      <rgbColor rgb="00FF972F"/>
      <rgbColor rgb="00ED4C05"/>
      <rgbColor rgb="006B5E9B"/>
      <rgbColor rgb="0077BC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323850</xdr:colOff>
      <xdr:row>0</xdr:row>
      <xdr:rowOff>847725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6000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190500</xdr:rowOff>
    </xdr:from>
    <xdr:to>
      <xdr:col>1</xdr:col>
      <xdr:colOff>361950</xdr:colOff>
      <xdr:row>0</xdr:row>
      <xdr:rowOff>866775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6381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142875</xdr:colOff>
      <xdr:row>20</xdr:row>
      <xdr:rowOff>171450</xdr:rowOff>
    </xdr:from>
    <xdr:to>
      <xdr:col>6</xdr:col>
      <xdr:colOff>9525</xdr:colOff>
      <xdr:row>20</xdr:row>
      <xdr:rowOff>304800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647825" y="5076825"/>
          <a:ext cx="2609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BDI.PAD = (1+AC+SG+R)*(1+DF)*(1+L)</a:t>
          </a:r>
        </a:p>
      </xdr:txBody>
    </xdr:sp>
    <xdr:clientData/>
  </xdr:twoCellAnchor>
  <xdr:twoCellAnchor editAs="absolute">
    <xdr:from>
      <xdr:col>2</xdr:col>
      <xdr:colOff>533400</xdr:colOff>
      <xdr:row>20</xdr:row>
      <xdr:rowOff>257175</xdr:rowOff>
    </xdr:from>
    <xdr:to>
      <xdr:col>5</xdr:col>
      <xdr:colOff>0</xdr:colOff>
      <xdr:row>20</xdr:row>
      <xdr:rowOff>523875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2038350" y="5162550"/>
          <a:ext cx="1600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
(1-CP-ISS)</a:t>
          </a:r>
        </a:p>
      </xdr:txBody>
    </xdr:sp>
    <xdr:clientData/>
  </xdr:twoCellAnchor>
  <xdr:twoCellAnchor editAs="absolute">
    <xdr:from>
      <xdr:col>5</xdr:col>
      <xdr:colOff>295275</xdr:colOff>
      <xdr:row>20</xdr:row>
      <xdr:rowOff>257175</xdr:rowOff>
    </xdr:from>
    <xdr:to>
      <xdr:col>5</xdr:col>
      <xdr:colOff>504825</xdr:colOff>
      <xdr:row>20</xdr:row>
      <xdr:rowOff>552450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933825" y="5162550"/>
          <a:ext cx="209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</a:p>
      </xdr:txBody>
    </xdr:sp>
    <xdr:clientData/>
  </xdr:twoCellAnchor>
  <xdr:twoCellAnchor>
    <xdr:from>
      <xdr:col>0</xdr:col>
      <xdr:colOff>19050</xdr:colOff>
      <xdr:row>0</xdr:row>
      <xdr:rowOff>161925</xdr:rowOff>
    </xdr:from>
    <xdr:to>
      <xdr:col>0</xdr:col>
      <xdr:colOff>533400</xdr:colOff>
      <xdr:row>0</xdr:row>
      <xdr:rowOff>762000</xdr:rowOff>
    </xdr:to>
    <xdr:pic>
      <xdr:nvPicPr>
        <xdr:cNvPr id="4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\CENTRO%20ODONTOL&#211;GICO\OFICIAIS\PO%20CENTRO%20ODONTO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3"/>
  <sheetViews>
    <sheetView tabSelected="1" view="pageBreakPreview" zoomScale="110" zoomScaleNormal="120" zoomScaleSheetLayoutView="110" workbookViewId="0" topLeftCell="A246">
      <selection activeCell="L247" sqref="L247"/>
    </sheetView>
  </sheetViews>
  <sheetFormatPr defaultColWidth="9.140625" defaultRowHeight="15"/>
  <cols>
    <col min="1" max="1" width="6.140625" style="1" customWidth="1"/>
    <col min="2" max="2" width="5.421875" style="1" customWidth="1"/>
    <col min="3" max="3" width="6.421875" style="1" customWidth="1"/>
    <col min="4" max="4" width="39.140625" style="2" customWidth="1"/>
    <col min="5" max="5" width="5.140625" style="1" customWidth="1"/>
    <col min="6" max="6" width="5.421875" style="1" customWidth="1"/>
    <col min="7" max="7" width="8.00390625" style="3" customWidth="1"/>
    <col min="8" max="8" width="4.8515625" style="4" hidden="1" customWidth="1"/>
    <col min="9" max="9" width="7.140625" style="3" hidden="1" customWidth="1"/>
    <col min="10" max="10" width="8.7109375" style="3" customWidth="1"/>
    <col min="11" max="11" width="12.421875" style="3" customWidth="1"/>
    <col min="12" max="12" width="14.8515625" style="5" customWidth="1"/>
    <col min="13" max="60" width="9.00390625" style="5" customWidth="1"/>
  </cols>
  <sheetData>
    <row r="1" spans="1:11" ht="7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8.7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8.75" customHeight="1">
      <c r="A5" s="9" t="s">
        <v>4</v>
      </c>
      <c r="B5" s="9"/>
      <c r="C5" s="9"/>
      <c r="D5" s="9"/>
      <c r="E5" s="9"/>
      <c r="F5" s="9"/>
      <c r="G5" s="9"/>
      <c r="K5" s="3" t="s">
        <v>5</v>
      </c>
    </row>
    <row r="6" spans="1:11" ht="2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20.25">
      <c r="A7" s="11" t="s">
        <v>7</v>
      </c>
      <c r="B7" s="11" t="s">
        <v>8</v>
      </c>
      <c r="C7" s="11" t="s">
        <v>9</v>
      </c>
      <c r="D7" s="12" t="s">
        <v>10</v>
      </c>
      <c r="E7" s="11" t="s">
        <v>11</v>
      </c>
      <c r="F7" s="11" t="s">
        <v>12</v>
      </c>
      <c r="G7" s="13" t="s">
        <v>13</v>
      </c>
      <c r="H7" s="14" t="s">
        <v>14</v>
      </c>
      <c r="I7" s="13" t="s">
        <v>15</v>
      </c>
      <c r="J7" s="13" t="s">
        <v>16</v>
      </c>
      <c r="K7" s="13" t="s">
        <v>17</v>
      </c>
      <c r="L7" s="15"/>
    </row>
    <row r="8" spans="1:60" ht="20.25">
      <c r="A8" s="16" t="s">
        <v>18</v>
      </c>
      <c r="B8" s="17" t="s">
        <v>19</v>
      </c>
      <c r="C8" s="17"/>
      <c r="D8" s="17"/>
      <c r="E8" s="17"/>
      <c r="F8" s="17"/>
      <c r="G8" s="17"/>
      <c r="H8" s="17"/>
      <c r="I8" s="17"/>
      <c r="J8" s="17"/>
      <c r="K8" s="18">
        <f>K9</f>
        <v>1527.8999999999999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</row>
    <row r="9" spans="1:13" ht="20.25">
      <c r="A9" s="19" t="s">
        <v>20</v>
      </c>
      <c r="B9" s="19" t="s">
        <v>21</v>
      </c>
      <c r="C9" s="19">
        <v>4813</v>
      </c>
      <c r="D9" s="20" t="s">
        <v>22</v>
      </c>
      <c r="E9" s="19" t="s">
        <v>23</v>
      </c>
      <c r="F9" s="19">
        <v>5</v>
      </c>
      <c r="G9" s="21">
        <v>250</v>
      </c>
      <c r="H9" s="22">
        <v>1.2223</v>
      </c>
      <c r="I9" s="21">
        <f>H9*G9</f>
        <v>305.575</v>
      </c>
      <c r="J9" s="23">
        <f>ROUND(I9,2)</f>
        <v>305.58</v>
      </c>
      <c r="K9" s="21">
        <f>J9*F9</f>
        <v>1527.8999999999999</v>
      </c>
      <c r="L9" s="24"/>
      <c r="M9" s="24"/>
    </row>
    <row r="10" spans="1:60" s="26" customFormat="1" ht="2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13" ht="20.25">
      <c r="A11" s="16">
        <v>2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27">
        <f>SUM(K12:K14)</f>
        <v>54814.74</v>
      </c>
      <c r="L11" s="24"/>
      <c r="M11" s="24"/>
    </row>
    <row r="12" spans="1:13" ht="20.25">
      <c r="A12" s="28" t="s">
        <v>25</v>
      </c>
      <c r="B12" s="28" t="s">
        <v>26</v>
      </c>
      <c r="C12" s="28" t="s">
        <v>27</v>
      </c>
      <c r="D12" s="29" t="s">
        <v>28</v>
      </c>
      <c r="E12" s="28" t="s">
        <v>23</v>
      </c>
      <c r="F12" s="28">
        <v>2514.74</v>
      </c>
      <c r="G12" s="30">
        <f>4.12/1.195</f>
        <v>3.4476987447698746</v>
      </c>
      <c r="H12" s="31">
        <v>1.2223</v>
      </c>
      <c r="I12" s="30">
        <f aca="true" t="shared" si="0" ref="I12:I14">H12*G12</f>
        <v>4.214122175732218</v>
      </c>
      <c r="J12" s="32">
        <f aca="true" t="shared" si="1" ref="J12:J14">ROUND(I12,2)</f>
        <v>4.21</v>
      </c>
      <c r="K12" s="30">
        <f aca="true" t="shared" si="2" ref="K12:K14">J12*F12</f>
        <v>10587.0554</v>
      </c>
      <c r="L12" s="24"/>
      <c r="M12" s="24"/>
    </row>
    <row r="13" spans="1:13" ht="20.25">
      <c r="A13" s="33" t="s">
        <v>29</v>
      </c>
      <c r="B13" s="33" t="s">
        <v>26</v>
      </c>
      <c r="C13" s="33" t="s">
        <v>30</v>
      </c>
      <c r="D13" s="34" t="s">
        <v>31</v>
      </c>
      <c r="E13" s="33" t="s">
        <v>32</v>
      </c>
      <c r="F13" s="33">
        <v>251.47</v>
      </c>
      <c r="G13" s="35">
        <f>101.46/1.195</f>
        <v>84.90376569037656</v>
      </c>
      <c r="H13" s="36">
        <v>1.2223</v>
      </c>
      <c r="I13" s="35">
        <f t="shared" si="0"/>
        <v>103.77787280334726</v>
      </c>
      <c r="J13" s="37">
        <f t="shared" si="1"/>
        <v>103.78</v>
      </c>
      <c r="K13" s="35">
        <f t="shared" si="2"/>
        <v>26097.5566</v>
      </c>
      <c r="L13" s="24"/>
      <c r="M13" s="24"/>
    </row>
    <row r="14" spans="1:13" ht="20.25">
      <c r="A14" s="38" t="s">
        <v>33</v>
      </c>
      <c r="B14" s="38" t="s">
        <v>26</v>
      </c>
      <c r="C14" s="38" t="s">
        <v>34</v>
      </c>
      <c r="D14" s="39" t="s">
        <v>35</v>
      </c>
      <c r="E14" s="38" t="s">
        <v>36</v>
      </c>
      <c r="F14" s="38">
        <v>7554.22</v>
      </c>
      <c r="G14" s="40">
        <f>2.35/1.195</f>
        <v>1.9665271966527196</v>
      </c>
      <c r="H14" s="41">
        <v>1.2223</v>
      </c>
      <c r="I14" s="40">
        <f t="shared" si="0"/>
        <v>2.403686192468619</v>
      </c>
      <c r="J14" s="42">
        <f t="shared" si="1"/>
        <v>2.4</v>
      </c>
      <c r="K14" s="40">
        <f t="shared" si="2"/>
        <v>18130.128</v>
      </c>
      <c r="L14" s="24"/>
      <c r="M14" s="24"/>
    </row>
    <row r="15" spans="1:13" ht="2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4"/>
      <c r="M15" s="24"/>
    </row>
    <row r="16" spans="1:13" ht="20.25">
      <c r="A16" s="16">
        <v>3</v>
      </c>
      <c r="B16" s="17" t="s">
        <v>37</v>
      </c>
      <c r="C16" s="17"/>
      <c r="D16" s="17"/>
      <c r="E16" s="17"/>
      <c r="F16" s="17"/>
      <c r="G16" s="17"/>
      <c r="H16" s="17"/>
      <c r="I16" s="17"/>
      <c r="J16" s="17"/>
      <c r="K16" s="27">
        <f>K17+K24+K35+K39+K46</f>
        <v>703663.1904000001</v>
      </c>
      <c r="L16" s="24"/>
      <c r="M16" s="24"/>
    </row>
    <row r="17" spans="1:13" ht="20.25">
      <c r="A17" s="43" t="s">
        <v>38</v>
      </c>
      <c r="B17" s="44" t="s">
        <v>39</v>
      </c>
      <c r="C17" s="44"/>
      <c r="D17" s="44"/>
      <c r="E17" s="44"/>
      <c r="F17" s="44"/>
      <c r="G17" s="44"/>
      <c r="H17" s="44"/>
      <c r="I17" s="44"/>
      <c r="J17" s="44"/>
      <c r="K17" s="45">
        <f>SUM(K18:K23)</f>
        <v>293025.82430000004</v>
      </c>
      <c r="L17" s="24"/>
      <c r="M17" s="24"/>
    </row>
    <row r="18" spans="1:13" ht="24">
      <c r="A18" s="28" t="s">
        <v>40</v>
      </c>
      <c r="B18" s="28" t="s">
        <v>41</v>
      </c>
      <c r="C18" s="28">
        <v>92542</v>
      </c>
      <c r="D18" s="29" t="s">
        <v>42</v>
      </c>
      <c r="E18" s="28" t="s">
        <v>23</v>
      </c>
      <c r="F18" s="28">
        <v>716.76</v>
      </c>
      <c r="G18" s="30">
        <v>118.72</v>
      </c>
      <c r="H18" s="31">
        <v>1.2223</v>
      </c>
      <c r="I18" s="30">
        <f aca="true" t="shared" si="3" ref="I18:I23">H18*G18</f>
        <v>145.111456</v>
      </c>
      <c r="J18" s="32">
        <f aca="true" t="shared" si="4" ref="J18:J23">ROUND(I18,2)</f>
        <v>145.11</v>
      </c>
      <c r="K18" s="30">
        <f aca="true" t="shared" si="5" ref="K18:K23">J18*F18</f>
        <v>104009.0436</v>
      </c>
      <c r="L18" s="24"/>
      <c r="M18" s="24"/>
    </row>
    <row r="19" spans="1:13" ht="24">
      <c r="A19" s="33" t="s">
        <v>43</v>
      </c>
      <c r="B19" s="33" t="s">
        <v>41</v>
      </c>
      <c r="C19" s="33">
        <v>100364</v>
      </c>
      <c r="D19" s="34" t="s">
        <v>44</v>
      </c>
      <c r="E19" s="33" t="s">
        <v>45</v>
      </c>
      <c r="F19" s="33">
        <v>6</v>
      </c>
      <c r="G19" s="35">
        <v>3532.8</v>
      </c>
      <c r="H19" s="36">
        <v>1.2223</v>
      </c>
      <c r="I19" s="35">
        <f t="shared" si="3"/>
        <v>4318.14144</v>
      </c>
      <c r="J19" s="37">
        <f t="shared" si="4"/>
        <v>4318.14</v>
      </c>
      <c r="K19" s="35">
        <f t="shared" si="5"/>
        <v>25908.840000000004</v>
      </c>
      <c r="L19" s="24"/>
      <c r="M19" s="24"/>
    </row>
    <row r="20" spans="1:13" ht="20.25">
      <c r="A20" s="46" t="s">
        <v>46</v>
      </c>
      <c r="B20" s="46" t="s">
        <v>41</v>
      </c>
      <c r="C20" s="46">
        <v>94226</v>
      </c>
      <c r="D20" s="47" t="s">
        <v>47</v>
      </c>
      <c r="E20" s="46" t="s">
        <v>23</v>
      </c>
      <c r="F20" s="46">
        <v>967.63</v>
      </c>
      <c r="G20" s="48">
        <v>22.66</v>
      </c>
      <c r="H20" s="49">
        <v>1.2223</v>
      </c>
      <c r="I20" s="48">
        <f t="shared" si="3"/>
        <v>27.697318</v>
      </c>
      <c r="J20" s="50">
        <f t="shared" si="4"/>
        <v>27.7</v>
      </c>
      <c r="K20" s="48">
        <f t="shared" si="5"/>
        <v>26803.351</v>
      </c>
      <c r="L20" s="24"/>
      <c r="M20" s="24"/>
    </row>
    <row r="21" spans="1:13" ht="20.25">
      <c r="A21" s="33" t="s">
        <v>48</v>
      </c>
      <c r="B21" s="33" t="s">
        <v>41</v>
      </c>
      <c r="C21" s="33">
        <v>94443</v>
      </c>
      <c r="D21" s="34" t="s">
        <v>49</v>
      </c>
      <c r="E21" s="33" t="s">
        <v>23</v>
      </c>
      <c r="F21" s="33">
        <v>967.63</v>
      </c>
      <c r="G21" s="35">
        <v>59.03</v>
      </c>
      <c r="H21" s="36">
        <v>1.2223</v>
      </c>
      <c r="I21" s="35">
        <f t="shared" si="3"/>
        <v>72.152369</v>
      </c>
      <c r="J21" s="37">
        <f t="shared" si="4"/>
        <v>72.15</v>
      </c>
      <c r="K21" s="35">
        <f t="shared" si="5"/>
        <v>69814.50450000001</v>
      </c>
      <c r="L21" s="24"/>
      <c r="M21" s="24"/>
    </row>
    <row r="22" spans="1:13" ht="24.75">
      <c r="A22" s="46" t="s">
        <v>50</v>
      </c>
      <c r="B22" s="46" t="s">
        <v>41</v>
      </c>
      <c r="C22" s="46">
        <v>94219</v>
      </c>
      <c r="D22" s="47" t="s">
        <v>51</v>
      </c>
      <c r="E22" s="46" t="s">
        <v>52</v>
      </c>
      <c r="F22" s="46">
        <v>74.43</v>
      </c>
      <c r="G22" s="48">
        <v>41.76</v>
      </c>
      <c r="H22" s="49">
        <v>1.2223</v>
      </c>
      <c r="I22" s="48">
        <f t="shared" si="3"/>
        <v>51.043248</v>
      </c>
      <c r="J22" s="50">
        <f t="shared" si="4"/>
        <v>51.04</v>
      </c>
      <c r="K22" s="48">
        <f t="shared" si="5"/>
        <v>3798.9072</v>
      </c>
      <c r="L22" s="24"/>
      <c r="M22" s="24"/>
    </row>
    <row r="23" spans="1:13" ht="20.25">
      <c r="A23" s="51" t="s">
        <v>53</v>
      </c>
      <c r="B23" s="51" t="s">
        <v>41</v>
      </c>
      <c r="C23" s="51">
        <v>94229</v>
      </c>
      <c r="D23" s="52" t="s">
        <v>54</v>
      </c>
      <c r="E23" s="51" t="s">
        <v>52</v>
      </c>
      <c r="F23" s="51">
        <v>299.8</v>
      </c>
      <c r="G23" s="53">
        <v>171.08</v>
      </c>
      <c r="H23" s="54">
        <v>1.2223</v>
      </c>
      <c r="I23" s="53">
        <f t="shared" si="3"/>
        <v>209.111084</v>
      </c>
      <c r="J23" s="55">
        <f t="shared" si="4"/>
        <v>209.11</v>
      </c>
      <c r="K23" s="53">
        <f t="shared" si="5"/>
        <v>62691.17800000001</v>
      </c>
      <c r="L23" s="24"/>
      <c r="M23" s="24"/>
    </row>
    <row r="24" spans="1:13" ht="20.25">
      <c r="A24" s="56" t="s">
        <v>55</v>
      </c>
      <c r="B24" s="57" t="s">
        <v>56</v>
      </c>
      <c r="C24" s="57"/>
      <c r="D24" s="57"/>
      <c r="E24" s="57"/>
      <c r="F24" s="57"/>
      <c r="G24" s="57"/>
      <c r="H24" s="57"/>
      <c r="I24" s="57"/>
      <c r="J24" s="57"/>
      <c r="K24" s="58">
        <f>SUM(K25:K34)</f>
        <v>83914.2564</v>
      </c>
      <c r="L24" s="24"/>
      <c r="M24" s="24"/>
    </row>
    <row r="25" spans="1:13" ht="24.75">
      <c r="A25" s="59" t="s">
        <v>57</v>
      </c>
      <c r="B25" s="59" t="s">
        <v>41</v>
      </c>
      <c r="C25" s="59">
        <v>92411</v>
      </c>
      <c r="D25" s="60" t="s">
        <v>58</v>
      </c>
      <c r="E25" s="59" t="s">
        <v>23</v>
      </c>
      <c r="F25" s="59">
        <v>45.75</v>
      </c>
      <c r="G25" s="61">
        <v>233.64</v>
      </c>
      <c r="H25" s="62">
        <v>1.2223</v>
      </c>
      <c r="I25" s="61">
        <f aca="true" t="shared" si="6" ref="I25:I34">H25*G25</f>
        <v>285.578172</v>
      </c>
      <c r="J25" s="63">
        <f aca="true" t="shared" si="7" ref="J25:J34">ROUND(I25,2)</f>
        <v>285.58</v>
      </c>
      <c r="K25" s="61">
        <f aca="true" t="shared" si="8" ref="K25:K34">J25*F25</f>
        <v>13065.285</v>
      </c>
      <c r="L25" s="24"/>
      <c r="M25" s="24"/>
    </row>
    <row r="26" spans="1:13" ht="20.25">
      <c r="A26" s="46" t="s">
        <v>59</v>
      </c>
      <c r="B26" s="46" t="s">
        <v>41</v>
      </c>
      <c r="C26" s="46">
        <v>92882</v>
      </c>
      <c r="D26" s="47" t="s">
        <v>60</v>
      </c>
      <c r="E26" s="46" t="s">
        <v>61</v>
      </c>
      <c r="F26" s="46">
        <v>126.15</v>
      </c>
      <c r="G26" s="48">
        <v>13.82</v>
      </c>
      <c r="H26" s="49">
        <v>1.2223</v>
      </c>
      <c r="I26" s="48">
        <f t="shared" si="6"/>
        <v>16.892186</v>
      </c>
      <c r="J26" s="50">
        <f t="shared" si="7"/>
        <v>16.89</v>
      </c>
      <c r="K26" s="48">
        <f t="shared" si="8"/>
        <v>2130.6735000000003</v>
      </c>
      <c r="L26" s="24"/>
      <c r="M26" s="24"/>
    </row>
    <row r="27" spans="1:13" ht="20.25">
      <c r="A27" s="33" t="s">
        <v>62</v>
      </c>
      <c r="B27" s="33" t="s">
        <v>41</v>
      </c>
      <c r="C27" s="33">
        <v>92884</v>
      </c>
      <c r="D27" s="34" t="s">
        <v>63</v>
      </c>
      <c r="E27" s="33" t="s">
        <v>61</v>
      </c>
      <c r="F27" s="33">
        <v>227.06</v>
      </c>
      <c r="G27" s="35">
        <v>12.47</v>
      </c>
      <c r="H27" s="36">
        <v>1.2223</v>
      </c>
      <c r="I27" s="35">
        <f t="shared" si="6"/>
        <v>15.242081</v>
      </c>
      <c r="J27" s="37">
        <f t="shared" si="7"/>
        <v>15.24</v>
      </c>
      <c r="K27" s="35">
        <f t="shared" si="8"/>
        <v>3460.3944</v>
      </c>
      <c r="L27" s="24"/>
      <c r="M27" s="24"/>
    </row>
    <row r="28" spans="1:13" ht="24.75">
      <c r="A28" s="46" t="s">
        <v>64</v>
      </c>
      <c r="B28" s="46" t="s">
        <v>41</v>
      </c>
      <c r="C28" s="46">
        <v>92451</v>
      </c>
      <c r="D28" s="47" t="s">
        <v>65</v>
      </c>
      <c r="E28" s="46" t="s">
        <v>23</v>
      </c>
      <c r="F28" s="46">
        <v>73.74</v>
      </c>
      <c r="G28" s="48">
        <v>186.5</v>
      </c>
      <c r="H28" s="49">
        <v>1.2223</v>
      </c>
      <c r="I28" s="48">
        <f t="shared" si="6"/>
        <v>227.95895</v>
      </c>
      <c r="J28" s="50">
        <f t="shared" si="7"/>
        <v>227.96</v>
      </c>
      <c r="K28" s="48">
        <f t="shared" si="8"/>
        <v>16809.770399999998</v>
      </c>
      <c r="L28" s="24"/>
      <c r="M28" s="24"/>
    </row>
    <row r="29" spans="1:13" ht="20.25">
      <c r="A29" s="33" t="s">
        <v>66</v>
      </c>
      <c r="B29" s="33" t="s">
        <v>41</v>
      </c>
      <c r="C29" s="33">
        <v>92882</v>
      </c>
      <c r="D29" s="34" t="s">
        <v>60</v>
      </c>
      <c r="E29" s="33" t="s">
        <v>61</v>
      </c>
      <c r="F29" s="33">
        <v>312.41</v>
      </c>
      <c r="G29" s="35">
        <v>13.82</v>
      </c>
      <c r="H29" s="36">
        <v>1.2223</v>
      </c>
      <c r="I29" s="35">
        <f t="shared" si="6"/>
        <v>16.892186</v>
      </c>
      <c r="J29" s="37">
        <f t="shared" si="7"/>
        <v>16.89</v>
      </c>
      <c r="K29" s="35">
        <f t="shared" si="8"/>
        <v>5276.6049</v>
      </c>
      <c r="L29" s="24"/>
      <c r="M29" s="24"/>
    </row>
    <row r="30" spans="1:13" ht="20.25">
      <c r="A30" s="46" t="s">
        <v>67</v>
      </c>
      <c r="B30" s="46" t="s">
        <v>41</v>
      </c>
      <c r="C30" s="46">
        <v>92884</v>
      </c>
      <c r="D30" s="47" t="s">
        <v>63</v>
      </c>
      <c r="E30" s="46" t="s">
        <v>61</v>
      </c>
      <c r="F30" s="46">
        <v>306.28</v>
      </c>
      <c r="G30" s="50">
        <v>12.47</v>
      </c>
      <c r="H30" s="49">
        <v>1.2223</v>
      </c>
      <c r="I30" s="48">
        <f t="shared" si="6"/>
        <v>15.242081</v>
      </c>
      <c r="J30" s="50">
        <f t="shared" si="7"/>
        <v>15.24</v>
      </c>
      <c r="K30" s="48">
        <f t="shared" si="8"/>
        <v>4667.7072</v>
      </c>
      <c r="L30" s="24"/>
      <c r="M30" s="24"/>
    </row>
    <row r="31" spans="1:13" ht="20.25">
      <c r="A31" s="33" t="s">
        <v>68</v>
      </c>
      <c r="B31" s="33" t="s">
        <v>41</v>
      </c>
      <c r="C31" s="33">
        <v>103669</v>
      </c>
      <c r="D31" s="34" t="s">
        <v>69</v>
      </c>
      <c r="E31" s="33" t="s">
        <v>70</v>
      </c>
      <c r="F31" s="33">
        <v>3.05</v>
      </c>
      <c r="G31" s="35">
        <v>919.08</v>
      </c>
      <c r="H31" s="36">
        <v>1.2223</v>
      </c>
      <c r="I31" s="35">
        <f t="shared" si="6"/>
        <v>1123.391484</v>
      </c>
      <c r="J31" s="37">
        <f t="shared" si="7"/>
        <v>1123.39</v>
      </c>
      <c r="K31" s="35">
        <f t="shared" si="8"/>
        <v>3426.3395</v>
      </c>
      <c r="L31" s="24"/>
      <c r="M31" s="24"/>
    </row>
    <row r="32" spans="1:13" ht="20.25">
      <c r="A32" s="46" t="s">
        <v>71</v>
      </c>
      <c r="B32" s="46" t="s">
        <v>41</v>
      </c>
      <c r="C32" s="46">
        <v>103674</v>
      </c>
      <c r="D32" s="47" t="s">
        <v>72</v>
      </c>
      <c r="E32" s="46" t="s">
        <v>70</v>
      </c>
      <c r="F32" s="46">
        <v>11.17</v>
      </c>
      <c r="G32" s="50">
        <v>602.49</v>
      </c>
      <c r="H32" s="49">
        <v>1.2223</v>
      </c>
      <c r="I32" s="48">
        <f t="shared" si="6"/>
        <v>736.4235269999999</v>
      </c>
      <c r="J32" s="50">
        <f t="shared" si="7"/>
        <v>736.42</v>
      </c>
      <c r="K32" s="48">
        <f t="shared" si="8"/>
        <v>8225.811399999999</v>
      </c>
      <c r="L32" s="24"/>
      <c r="M32" s="24"/>
    </row>
    <row r="33" spans="1:13" ht="31.5">
      <c r="A33" s="33" t="s">
        <v>73</v>
      </c>
      <c r="B33" s="33" t="s">
        <v>41</v>
      </c>
      <c r="C33" s="33">
        <v>103322</v>
      </c>
      <c r="D33" s="34" t="s">
        <v>74</v>
      </c>
      <c r="E33" s="33" t="s">
        <v>23</v>
      </c>
      <c r="F33" s="33">
        <v>161.47</v>
      </c>
      <c r="G33" s="35">
        <v>55.89</v>
      </c>
      <c r="H33" s="36">
        <v>1.2223</v>
      </c>
      <c r="I33" s="35">
        <f t="shared" si="6"/>
        <v>68.314347</v>
      </c>
      <c r="J33" s="37">
        <f t="shared" si="7"/>
        <v>68.31</v>
      </c>
      <c r="K33" s="35">
        <f t="shared" si="8"/>
        <v>11030.0157</v>
      </c>
      <c r="L33" s="24"/>
      <c r="M33" s="24"/>
    </row>
    <row r="34" spans="1:13" ht="24.75">
      <c r="A34" s="38" t="s">
        <v>75</v>
      </c>
      <c r="B34" s="38" t="s">
        <v>41</v>
      </c>
      <c r="C34" s="38">
        <v>101964</v>
      </c>
      <c r="D34" s="39" t="s">
        <v>76</v>
      </c>
      <c r="E34" s="38" t="s">
        <v>23</v>
      </c>
      <c r="F34" s="38">
        <v>73.74</v>
      </c>
      <c r="G34" s="40">
        <v>175.54</v>
      </c>
      <c r="H34" s="41">
        <v>1.2223</v>
      </c>
      <c r="I34" s="40">
        <f t="shared" si="6"/>
        <v>214.56254199999998</v>
      </c>
      <c r="J34" s="42">
        <f t="shared" si="7"/>
        <v>214.56</v>
      </c>
      <c r="K34" s="40">
        <f t="shared" si="8"/>
        <v>15821.6544</v>
      </c>
      <c r="L34" s="24"/>
      <c r="M34" s="24"/>
    </row>
    <row r="35" spans="1:13" ht="20.25">
      <c r="A35" s="56" t="s">
        <v>77</v>
      </c>
      <c r="B35" s="57" t="s">
        <v>78</v>
      </c>
      <c r="C35" s="57"/>
      <c r="D35" s="57"/>
      <c r="E35" s="57"/>
      <c r="F35" s="57"/>
      <c r="G35" s="57"/>
      <c r="H35" s="57"/>
      <c r="I35" s="57"/>
      <c r="J35" s="57"/>
      <c r="K35" s="58">
        <f>SUM(K36:K38)</f>
        <v>46588.93199999999</v>
      </c>
      <c r="L35" s="24"/>
      <c r="M35" s="24"/>
    </row>
    <row r="36" spans="1:13" ht="20.25">
      <c r="A36" s="28" t="s">
        <v>79</v>
      </c>
      <c r="B36" s="64" t="s">
        <v>80</v>
      </c>
      <c r="C36" s="64" t="s">
        <v>81</v>
      </c>
      <c r="D36" s="29" t="s">
        <v>82</v>
      </c>
      <c r="E36" s="28" t="s">
        <v>23</v>
      </c>
      <c r="F36" s="28">
        <v>663.66</v>
      </c>
      <c r="G36" s="30">
        <v>6.96</v>
      </c>
      <c r="H36" s="31">
        <v>1.2223</v>
      </c>
      <c r="I36" s="30">
        <f aca="true" t="shared" si="9" ref="I36:I38">H36*G36</f>
        <v>8.507208</v>
      </c>
      <c r="J36" s="32">
        <f aca="true" t="shared" si="10" ref="J36:J38">ROUND(I36,2)</f>
        <v>8.51</v>
      </c>
      <c r="K36" s="30">
        <f aca="true" t="shared" si="11" ref="K36:K38">J36*F36</f>
        <v>5647.7465999999995</v>
      </c>
      <c r="L36" s="24"/>
      <c r="M36" s="24"/>
    </row>
    <row r="37" spans="1:13" ht="31.5">
      <c r="A37" s="33" t="s">
        <v>83</v>
      </c>
      <c r="B37" s="33" t="s">
        <v>41</v>
      </c>
      <c r="C37" s="33">
        <v>87529</v>
      </c>
      <c r="D37" s="34" t="s">
        <v>84</v>
      </c>
      <c r="E37" s="33" t="s">
        <v>23</v>
      </c>
      <c r="F37" s="33">
        <v>663.66</v>
      </c>
      <c r="G37" s="35">
        <v>37.05</v>
      </c>
      <c r="H37" s="36">
        <v>1.2223</v>
      </c>
      <c r="I37" s="35">
        <f t="shared" si="9"/>
        <v>45.28621499999999</v>
      </c>
      <c r="J37" s="37">
        <f t="shared" si="10"/>
        <v>45.29</v>
      </c>
      <c r="K37" s="35">
        <f t="shared" si="11"/>
        <v>30057.161399999997</v>
      </c>
      <c r="L37" s="24"/>
      <c r="M37" s="24"/>
    </row>
    <row r="38" spans="1:13" ht="20.25">
      <c r="A38" s="38" t="s">
        <v>85</v>
      </c>
      <c r="B38" s="38" t="s">
        <v>41</v>
      </c>
      <c r="C38" s="38">
        <v>88489</v>
      </c>
      <c r="D38" s="39" t="s">
        <v>86</v>
      </c>
      <c r="E38" s="38" t="s">
        <v>23</v>
      </c>
      <c r="F38" s="38">
        <v>663.66</v>
      </c>
      <c r="G38" s="40">
        <v>13.42</v>
      </c>
      <c r="H38" s="41">
        <v>1.2223</v>
      </c>
      <c r="I38" s="40">
        <f t="shared" si="9"/>
        <v>16.403266</v>
      </c>
      <c r="J38" s="42">
        <f t="shared" si="10"/>
        <v>16.4</v>
      </c>
      <c r="K38" s="40">
        <f t="shared" si="11"/>
        <v>10884.024</v>
      </c>
      <c r="L38" s="24"/>
      <c r="M38" s="24"/>
    </row>
    <row r="39" spans="1:13" ht="20.25">
      <c r="A39" s="56" t="s">
        <v>87</v>
      </c>
      <c r="B39" s="57" t="s">
        <v>88</v>
      </c>
      <c r="C39" s="57"/>
      <c r="D39" s="57"/>
      <c r="E39" s="57"/>
      <c r="F39" s="57"/>
      <c r="G39" s="57"/>
      <c r="H39" s="57"/>
      <c r="I39" s="57"/>
      <c r="J39" s="57"/>
      <c r="K39" s="58">
        <f>SUM(K40:K45)</f>
        <v>252438.42010000002</v>
      </c>
      <c r="L39" s="24"/>
      <c r="M39" s="24"/>
    </row>
    <row r="40" spans="1:13" ht="24">
      <c r="A40" s="28" t="s">
        <v>89</v>
      </c>
      <c r="B40" s="28" t="s">
        <v>41</v>
      </c>
      <c r="C40" s="28">
        <v>92542</v>
      </c>
      <c r="D40" s="29" t="s">
        <v>42</v>
      </c>
      <c r="E40" s="28" t="s">
        <v>23</v>
      </c>
      <c r="F40" s="28">
        <v>675.54</v>
      </c>
      <c r="G40" s="30">
        <v>118.72</v>
      </c>
      <c r="H40" s="31">
        <v>1.2223</v>
      </c>
      <c r="I40" s="30">
        <f aca="true" t="shared" si="12" ref="I40:I45">H40*G40</f>
        <v>145.111456</v>
      </c>
      <c r="J40" s="32">
        <f aca="true" t="shared" si="13" ref="J40:J45">ROUND(I40,2)</f>
        <v>145.11</v>
      </c>
      <c r="K40" s="30">
        <f aca="true" t="shared" si="14" ref="K40:K45">J40*F40</f>
        <v>98027.6094</v>
      </c>
      <c r="L40" s="24"/>
      <c r="M40" s="24"/>
    </row>
    <row r="41" spans="1:13" ht="24">
      <c r="A41" s="33" t="s">
        <v>90</v>
      </c>
      <c r="B41" s="33" t="s">
        <v>41</v>
      </c>
      <c r="C41" s="33">
        <v>100360</v>
      </c>
      <c r="D41" s="34" t="s">
        <v>91</v>
      </c>
      <c r="E41" s="33" t="s">
        <v>45</v>
      </c>
      <c r="F41" s="33">
        <v>6</v>
      </c>
      <c r="G41" s="35">
        <v>1947.24</v>
      </c>
      <c r="H41" s="36">
        <v>1.2223</v>
      </c>
      <c r="I41" s="35">
        <f t="shared" si="12"/>
        <v>2380.111452</v>
      </c>
      <c r="J41" s="37">
        <f t="shared" si="13"/>
        <v>2380.11</v>
      </c>
      <c r="K41" s="35">
        <f t="shared" si="14"/>
        <v>14280.66</v>
      </c>
      <c r="L41" s="24"/>
      <c r="M41" s="24"/>
    </row>
    <row r="42" spans="1:13" ht="20.25">
      <c r="A42" s="46" t="s">
        <v>92</v>
      </c>
      <c r="B42" s="46" t="s">
        <v>41</v>
      </c>
      <c r="C42" s="46">
        <v>94226</v>
      </c>
      <c r="D42" s="47" t="s">
        <v>47</v>
      </c>
      <c r="E42" s="46" t="s">
        <v>23</v>
      </c>
      <c r="F42" s="46">
        <v>911.97</v>
      </c>
      <c r="G42" s="48">
        <v>22.66</v>
      </c>
      <c r="H42" s="49">
        <v>1.2223</v>
      </c>
      <c r="I42" s="48">
        <f t="shared" si="12"/>
        <v>27.697318</v>
      </c>
      <c r="J42" s="50">
        <f t="shared" si="13"/>
        <v>27.7</v>
      </c>
      <c r="K42" s="48">
        <f t="shared" si="14"/>
        <v>25261.569</v>
      </c>
      <c r="L42" s="24"/>
      <c r="M42" s="24"/>
    </row>
    <row r="43" spans="1:13" ht="20.25">
      <c r="A43" s="33" t="s">
        <v>93</v>
      </c>
      <c r="B43" s="33" t="s">
        <v>41</v>
      </c>
      <c r="C43" s="33">
        <v>94443</v>
      </c>
      <c r="D43" s="34" t="s">
        <v>49</v>
      </c>
      <c r="E43" s="33" t="s">
        <v>23</v>
      </c>
      <c r="F43" s="33">
        <v>911.97</v>
      </c>
      <c r="G43" s="35">
        <v>59.03</v>
      </c>
      <c r="H43" s="36">
        <v>1.2223</v>
      </c>
      <c r="I43" s="35">
        <f t="shared" si="12"/>
        <v>72.152369</v>
      </c>
      <c r="J43" s="37">
        <f t="shared" si="13"/>
        <v>72.15</v>
      </c>
      <c r="K43" s="35">
        <f t="shared" si="14"/>
        <v>65798.6355</v>
      </c>
      <c r="L43" s="24"/>
      <c r="M43" s="24"/>
    </row>
    <row r="44" spans="1:13" ht="24.75">
      <c r="A44" s="46" t="s">
        <v>94</v>
      </c>
      <c r="B44" s="46" t="s">
        <v>41</v>
      </c>
      <c r="C44" s="46">
        <v>94219</v>
      </c>
      <c r="D44" s="47" t="s">
        <v>51</v>
      </c>
      <c r="E44" s="46" t="s">
        <v>52</v>
      </c>
      <c r="F44" s="46">
        <v>26.88</v>
      </c>
      <c r="G44" s="48">
        <v>41.76</v>
      </c>
      <c r="H44" s="49">
        <v>1.2223</v>
      </c>
      <c r="I44" s="48">
        <f t="shared" si="12"/>
        <v>51.043248</v>
      </c>
      <c r="J44" s="50">
        <f t="shared" si="13"/>
        <v>51.04</v>
      </c>
      <c r="K44" s="48">
        <f t="shared" si="14"/>
        <v>1371.9551999999999</v>
      </c>
      <c r="L44" s="24"/>
      <c r="M44" s="24"/>
    </row>
    <row r="45" spans="1:13" ht="20.25">
      <c r="A45" s="51" t="s">
        <v>95</v>
      </c>
      <c r="B45" s="51" t="s">
        <v>41</v>
      </c>
      <c r="C45" s="51">
        <v>94229</v>
      </c>
      <c r="D45" s="52" t="s">
        <v>54</v>
      </c>
      <c r="E45" s="51" t="s">
        <v>52</v>
      </c>
      <c r="F45" s="51">
        <v>228.1</v>
      </c>
      <c r="G45" s="53">
        <v>171.08</v>
      </c>
      <c r="H45" s="54">
        <v>1.2223</v>
      </c>
      <c r="I45" s="53">
        <f t="shared" si="12"/>
        <v>209.111084</v>
      </c>
      <c r="J45" s="55">
        <f t="shared" si="13"/>
        <v>209.11</v>
      </c>
      <c r="K45" s="53">
        <f t="shared" si="14"/>
        <v>47697.991</v>
      </c>
      <c r="L45" s="24"/>
      <c r="M45" s="24"/>
    </row>
    <row r="46" spans="1:13" ht="20.25">
      <c r="A46" s="56" t="s">
        <v>96</v>
      </c>
      <c r="B46" s="57" t="s">
        <v>97</v>
      </c>
      <c r="C46" s="57"/>
      <c r="D46" s="57"/>
      <c r="E46" s="57"/>
      <c r="F46" s="57"/>
      <c r="G46" s="57"/>
      <c r="H46" s="57"/>
      <c r="I46" s="57"/>
      <c r="J46" s="57"/>
      <c r="K46" s="58">
        <f>SUM(K47:K50)</f>
        <v>27695.757600000004</v>
      </c>
      <c r="L46" s="24"/>
      <c r="M46" s="24"/>
    </row>
    <row r="47" spans="1:13" ht="24.75">
      <c r="A47" s="59" t="s">
        <v>98</v>
      </c>
      <c r="B47" s="59" t="s">
        <v>41</v>
      </c>
      <c r="C47" s="59">
        <v>101964</v>
      </c>
      <c r="D47" s="60" t="s">
        <v>99</v>
      </c>
      <c r="E47" s="59" t="s">
        <v>23</v>
      </c>
      <c r="F47" s="59">
        <v>97.26</v>
      </c>
      <c r="G47" s="61">
        <v>175.54</v>
      </c>
      <c r="H47" s="62">
        <v>1.2223</v>
      </c>
      <c r="I47" s="61">
        <f aca="true" t="shared" si="15" ref="I47:I50">H47*G47</f>
        <v>214.56254199999998</v>
      </c>
      <c r="J47" s="63">
        <f aca="true" t="shared" si="16" ref="J47:J50">ROUND(I47,2)</f>
        <v>214.56</v>
      </c>
      <c r="K47" s="61">
        <f aca="true" t="shared" si="17" ref="K47:K50">J47*F47</f>
        <v>20868.105600000003</v>
      </c>
      <c r="L47" s="24"/>
      <c r="M47" s="24"/>
    </row>
    <row r="48" spans="1:13" ht="20.25">
      <c r="A48" s="46" t="s">
        <v>100</v>
      </c>
      <c r="B48" s="65" t="s">
        <v>80</v>
      </c>
      <c r="C48" s="65" t="s">
        <v>81</v>
      </c>
      <c r="D48" s="47" t="s">
        <v>82</v>
      </c>
      <c r="E48" s="46" t="s">
        <v>23</v>
      </c>
      <c r="F48" s="46">
        <v>97.26</v>
      </c>
      <c r="G48" s="48">
        <v>6.96</v>
      </c>
      <c r="H48" s="49">
        <v>1.2223</v>
      </c>
      <c r="I48" s="48">
        <f t="shared" si="15"/>
        <v>8.507208</v>
      </c>
      <c r="J48" s="50">
        <f t="shared" si="16"/>
        <v>8.51</v>
      </c>
      <c r="K48" s="48">
        <f t="shared" si="17"/>
        <v>827.6826</v>
      </c>
      <c r="L48" s="24"/>
      <c r="M48" s="24"/>
    </row>
    <row r="49" spans="1:13" ht="31.5">
      <c r="A49" s="33" t="s">
        <v>101</v>
      </c>
      <c r="B49" s="33" t="s">
        <v>41</v>
      </c>
      <c r="C49" s="33">
        <v>87529</v>
      </c>
      <c r="D49" s="34" t="s">
        <v>84</v>
      </c>
      <c r="E49" s="33" t="s">
        <v>23</v>
      </c>
      <c r="F49" s="33">
        <v>97.26</v>
      </c>
      <c r="G49" s="35">
        <v>37.05</v>
      </c>
      <c r="H49" s="36">
        <v>1.2223</v>
      </c>
      <c r="I49" s="35">
        <f t="shared" si="15"/>
        <v>45.28621499999999</v>
      </c>
      <c r="J49" s="37">
        <f t="shared" si="16"/>
        <v>45.29</v>
      </c>
      <c r="K49" s="35">
        <f t="shared" si="17"/>
        <v>4404.905400000001</v>
      </c>
      <c r="L49" s="24"/>
      <c r="M49" s="24"/>
    </row>
    <row r="50" spans="1:13" ht="20.25">
      <c r="A50" s="38" t="s">
        <v>102</v>
      </c>
      <c r="B50" s="38" t="s">
        <v>41</v>
      </c>
      <c r="C50" s="38">
        <v>88489</v>
      </c>
      <c r="D50" s="39" t="s">
        <v>86</v>
      </c>
      <c r="E50" s="38" t="s">
        <v>23</v>
      </c>
      <c r="F50" s="38">
        <v>97.26</v>
      </c>
      <c r="G50" s="40">
        <v>13.42</v>
      </c>
      <c r="H50" s="41">
        <v>1.2223</v>
      </c>
      <c r="I50" s="40">
        <f t="shared" si="15"/>
        <v>16.403266</v>
      </c>
      <c r="J50" s="42">
        <f t="shared" si="16"/>
        <v>16.4</v>
      </c>
      <c r="K50" s="40">
        <f t="shared" si="17"/>
        <v>1595.0639999999999</v>
      </c>
      <c r="L50" s="24"/>
      <c r="M50" s="24"/>
    </row>
    <row r="51" spans="1:13" ht="2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4"/>
      <c r="M51" s="24"/>
    </row>
    <row r="52" spans="1:13" ht="20.25">
      <c r="A52" s="16">
        <v>4</v>
      </c>
      <c r="B52" s="17" t="s">
        <v>103</v>
      </c>
      <c r="C52" s="17"/>
      <c r="D52" s="17"/>
      <c r="E52" s="17"/>
      <c r="F52" s="17"/>
      <c r="G52" s="17"/>
      <c r="H52" s="17"/>
      <c r="I52" s="17"/>
      <c r="J52" s="17"/>
      <c r="K52" s="27">
        <f>SUM(K53:K56)</f>
        <v>220562.9013</v>
      </c>
      <c r="L52" s="24"/>
      <c r="M52" s="24"/>
    </row>
    <row r="53" spans="1:13" ht="20.25">
      <c r="A53" s="28" t="s">
        <v>104</v>
      </c>
      <c r="B53" s="28" t="s">
        <v>26</v>
      </c>
      <c r="C53" s="28" t="s">
        <v>105</v>
      </c>
      <c r="D53" s="29" t="s">
        <v>106</v>
      </c>
      <c r="E53" s="28" t="s">
        <v>23</v>
      </c>
      <c r="F53" s="28">
        <v>1430.11</v>
      </c>
      <c r="G53" s="30">
        <f>11.41/1.195</f>
        <v>9.548117154811715</v>
      </c>
      <c r="H53" s="31">
        <v>1.2223</v>
      </c>
      <c r="I53" s="30">
        <f aca="true" t="shared" si="18" ref="I53:I56">H53*G53</f>
        <v>11.670663598326358</v>
      </c>
      <c r="J53" s="32">
        <f aca="true" t="shared" si="19" ref="J53:J56">ROUND(I53,2)</f>
        <v>11.67</v>
      </c>
      <c r="K53" s="30">
        <f aca="true" t="shared" si="20" ref="K53:K56">J53*F53</f>
        <v>16689.3837</v>
      </c>
      <c r="L53" s="24"/>
      <c r="M53" s="24"/>
    </row>
    <row r="54" spans="1:13" ht="20.25">
      <c r="A54" s="33" t="s">
        <v>107</v>
      </c>
      <c r="B54" s="33" t="s">
        <v>26</v>
      </c>
      <c r="C54" s="33" t="s">
        <v>30</v>
      </c>
      <c r="D54" s="34" t="s">
        <v>31</v>
      </c>
      <c r="E54" s="33" t="s">
        <v>32</v>
      </c>
      <c r="F54" s="33">
        <v>143.01</v>
      </c>
      <c r="G54" s="35">
        <f>101.46/1.195</f>
        <v>84.90376569037656</v>
      </c>
      <c r="H54" s="36">
        <v>1.2223</v>
      </c>
      <c r="I54" s="35">
        <f t="shared" si="18"/>
        <v>103.77787280334726</v>
      </c>
      <c r="J54" s="37">
        <f t="shared" si="19"/>
        <v>103.78</v>
      </c>
      <c r="K54" s="35">
        <f t="shared" si="20"/>
        <v>14841.5778</v>
      </c>
      <c r="L54" s="24"/>
      <c r="M54" s="24"/>
    </row>
    <row r="55" spans="1:13" ht="20.25">
      <c r="A55" s="46" t="s">
        <v>108</v>
      </c>
      <c r="B55" s="46" t="s">
        <v>26</v>
      </c>
      <c r="C55" s="46" t="s">
        <v>34</v>
      </c>
      <c r="D55" s="47" t="s">
        <v>35</v>
      </c>
      <c r="E55" s="46" t="s">
        <v>36</v>
      </c>
      <c r="F55" s="46">
        <v>4290.33</v>
      </c>
      <c r="G55" s="48">
        <f>2.35/1.195</f>
        <v>1.9665271966527196</v>
      </c>
      <c r="H55" s="49">
        <v>1.2223</v>
      </c>
      <c r="I55" s="48">
        <f t="shared" si="18"/>
        <v>2.403686192468619</v>
      </c>
      <c r="J55" s="50">
        <f t="shared" si="19"/>
        <v>2.4</v>
      </c>
      <c r="K55" s="48">
        <f t="shared" si="20"/>
        <v>10296.792</v>
      </c>
      <c r="L55" s="24"/>
      <c r="M55" s="24"/>
    </row>
    <row r="56" spans="1:13" ht="20.25">
      <c r="A56" s="51" t="s">
        <v>109</v>
      </c>
      <c r="B56" s="51" t="s">
        <v>80</v>
      </c>
      <c r="C56" s="51" t="s">
        <v>110</v>
      </c>
      <c r="D56" s="52" t="s">
        <v>111</v>
      </c>
      <c r="E56" s="51" t="s">
        <v>23</v>
      </c>
      <c r="F56" s="51">
        <v>1430.11</v>
      </c>
      <c r="G56" s="53">
        <v>102.25</v>
      </c>
      <c r="H56" s="54">
        <v>1.2223</v>
      </c>
      <c r="I56" s="53">
        <f t="shared" si="18"/>
        <v>124.98017499999999</v>
      </c>
      <c r="J56" s="55">
        <f t="shared" si="19"/>
        <v>124.98</v>
      </c>
      <c r="K56" s="53">
        <f t="shared" si="20"/>
        <v>178735.1478</v>
      </c>
      <c r="L56" s="24"/>
      <c r="M56" s="24"/>
    </row>
    <row r="57" spans="1:13" ht="2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4"/>
      <c r="M57" s="24"/>
    </row>
    <row r="58" spans="1:13" ht="20.25">
      <c r="A58" s="16">
        <v>5</v>
      </c>
      <c r="B58" s="17" t="s">
        <v>112</v>
      </c>
      <c r="C58" s="17"/>
      <c r="D58" s="17"/>
      <c r="E58" s="17"/>
      <c r="F58" s="17"/>
      <c r="G58" s="17"/>
      <c r="H58" s="17"/>
      <c r="I58" s="17"/>
      <c r="J58" s="17"/>
      <c r="K58" s="27">
        <f>SUM(K59:K70)</f>
        <v>60138.95940000001</v>
      </c>
      <c r="L58" s="24"/>
      <c r="M58" s="24"/>
    </row>
    <row r="59" spans="1:13" ht="20.25">
      <c r="A59" s="28" t="s">
        <v>113</v>
      </c>
      <c r="B59" s="28" t="s">
        <v>41</v>
      </c>
      <c r="C59" s="28">
        <v>97633</v>
      </c>
      <c r="D59" s="29" t="s">
        <v>114</v>
      </c>
      <c r="E59" s="28" t="s">
        <v>23</v>
      </c>
      <c r="F59" s="28">
        <v>311.04</v>
      </c>
      <c r="G59" s="30">
        <v>27.71</v>
      </c>
      <c r="H59" s="31">
        <v>1.2223</v>
      </c>
      <c r="I59" s="30">
        <f aca="true" t="shared" si="21" ref="I59:I70">H59*G59</f>
        <v>33.869932999999996</v>
      </c>
      <c r="J59" s="32">
        <f aca="true" t="shared" si="22" ref="J59:J70">ROUND(I59,2)</f>
        <v>33.87</v>
      </c>
      <c r="K59" s="30">
        <f aca="true" t="shared" si="23" ref="K59:K70">J59*F59</f>
        <v>10534.9248</v>
      </c>
      <c r="L59" s="24"/>
      <c r="M59" s="24"/>
    </row>
    <row r="60" spans="1:13" ht="20.25">
      <c r="A60" s="33" t="s">
        <v>115</v>
      </c>
      <c r="B60" s="33" t="s">
        <v>41</v>
      </c>
      <c r="C60" s="33">
        <v>97631</v>
      </c>
      <c r="D60" s="34" t="s">
        <v>116</v>
      </c>
      <c r="E60" s="33" t="s">
        <v>23</v>
      </c>
      <c r="F60" s="33">
        <v>311.04</v>
      </c>
      <c r="G60" s="35">
        <v>4.05</v>
      </c>
      <c r="H60" s="36">
        <v>1.2223</v>
      </c>
      <c r="I60" s="35">
        <f t="shared" si="21"/>
        <v>4.950315</v>
      </c>
      <c r="J60" s="37">
        <f t="shared" si="22"/>
        <v>4.95</v>
      </c>
      <c r="K60" s="35">
        <f t="shared" si="23"/>
        <v>1539.6480000000001</v>
      </c>
      <c r="L60" s="24"/>
      <c r="M60" s="24"/>
    </row>
    <row r="61" spans="1:13" ht="20.25">
      <c r="A61" s="46" t="s">
        <v>117</v>
      </c>
      <c r="B61" s="46" t="s">
        <v>41</v>
      </c>
      <c r="C61" s="46">
        <v>97622</v>
      </c>
      <c r="D61" s="47" t="s">
        <v>118</v>
      </c>
      <c r="E61" s="46" t="s">
        <v>23</v>
      </c>
      <c r="F61" s="46">
        <v>23.88</v>
      </c>
      <c r="G61" s="48">
        <v>70.65</v>
      </c>
      <c r="H61" s="49">
        <v>1.2223</v>
      </c>
      <c r="I61" s="48">
        <f t="shared" si="21"/>
        <v>86.355495</v>
      </c>
      <c r="J61" s="50">
        <f t="shared" si="22"/>
        <v>86.36</v>
      </c>
      <c r="K61" s="48">
        <f t="shared" si="23"/>
        <v>2062.2768</v>
      </c>
      <c r="L61" s="24"/>
      <c r="M61" s="24"/>
    </row>
    <row r="62" spans="1:13" ht="20.25">
      <c r="A62" s="33" t="s">
        <v>119</v>
      </c>
      <c r="B62" s="33" t="s">
        <v>26</v>
      </c>
      <c r="C62" s="33" t="s">
        <v>120</v>
      </c>
      <c r="D62" s="34" t="s">
        <v>121</v>
      </c>
      <c r="E62" s="33" t="s">
        <v>45</v>
      </c>
      <c r="F62" s="33">
        <v>20</v>
      </c>
      <c r="G62" s="35">
        <f>44.74/1.195</f>
        <v>37.43933054393305</v>
      </c>
      <c r="H62" s="36">
        <v>1.2223</v>
      </c>
      <c r="I62" s="35">
        <f t="shared" si="21"/>
        <v>45.76209372384937</v>
      </c>
      <c r="J62" s="37">
        <f t="shared" si="22"/>
        <v>45.76</v>
      </c>
      <c r="K62" s="35">
        <f t="shared" si="23"/>
        <v>915.1999999999999</v>
      </c>
      <c r="L62" s="24"/>
      <c r="M62" s="24"/>
    </row>
    <row r="63" spans="1:13" ht="20.25">
      <c r="A63" s="46" t="s">
        <v>122</v>
      </c>
      <c r="B63" s="46" t="s">
        <v>26</v>
      </c>
      <c r="C63" s="46" t="s">
        <v>30</v>
      </c>
      <c r="D63" s="47" t="s">
        <v>31</v>
      </c>
      <c r="E63" s="46" t="s">
        <v>32</v>
      </c>
      <c r="F63" s="46">
        <v>68.01</v>
      </c>
      <c r="G63" s="48">
        <f>101.46/1.195</f>
        <v>84.90376569037656</v>
      </c>
      <c r="H63" s="49">
        <v>1.2223</v>
      </c>
      <c r="I63" s="48">
        <f t="shared" si="21"/>
        <v>103.77787280334726</v>
      </c>
      <c r="J63" s="50">
        <f t="shared" si="22"/>
        <v>103.78</v>
      </c>
      <c r="K63" s="48">
        <f t="shared" si="23"/>
        <v>7058.077800000001</v>
      </c>
      <c r="L63" s="24"/>
      <c r="M63" s="24"/>
    </row>
    <row r="64" spans="1:13" ht="20.25">
      <c r="A64" s="33" t="s">
        <v>123</v>
      </c>
      <c r="B64" s="33" t="s">
        <v>26</v>
      </c>
      <c r="C64" s="33" t="s">
        <v>34</v>
      </c>
      <c r="D64" s="34" t="s">
        <v>35</v>
      </c>
      <c r="E64" s="33" t="s">
        <v>36</v>
      </c>
      <c r="F64" s="33">
        <v>2040.3</v>
      </c>
      <c r="G64" s="35">
        <f>2.35/1.195</f>
        <v>1.9665271966527196</v>
      </c>
      <c r="H64" s="36">
        <v>1.2223</v>
      </c>
      <c r="I64" s="35">
        <f t="shared" si="21"/>
        <v>2.403686192468619</v>
      </c>
      <c r="J64" s="37">
        <f t="shared" si="22"/>
        <v>2.4</v>
      </c>
      <c r="K64" s="35">
        <f t="shared" si="23"/>
        <v>4896.719999999999</v>
      </c>
      <c r="L64" s="24"/>
      <c r="M64" s="24"/>
    </row>
    <row r="65" spans="1:13" ht="24.75">
      <c r="A65" s="46" t="s">
        <v>124</v>
      </c>
      <c r="B65" s="46" t="s">
        <v>41</v>
      </c>
      <c r="C65" s="46">
        <v>87248</v>
      </c>
      <c r="D65" s="47" t="s">
        <v>125</v>
      </c>
      <c r="E65" s="46" t="s">
        <v>23</v>
      </c>
      <c r="F65" s="46">
        <v>311.04</v>
      </c>
      <c r="G65" s="48">
        <v>59.14</v>
      </c>
      <c r="H65" s="49">
        <v>1.2223</v>
      </c>
      <c r="I65" s="48">
        <f t="shared" si="21"/>
        <v>72.286822</v>
      </c>
      <c r="J65" s="50">
        <f t="shared" si="22"/>
        <v>72.29</v>
      </c>
      <c r="K65" s="48">
        <f t="shared" si="23"/>
        <v>22485.081600000005</v>
      </c>
      <c r="L65" s="24"/>
      <c r="M65" s="24"/>
    </row>
    <row r="66" spans="1:13" ht="20.25">
      <c r="A66" s="33" t="s">
        <v>126</v>
      </c>
      <c r="B66" s="66" t="s">
        <v>80</v>
      </c>
      <c r="C66" s="66" t="s">
        <v>81</v>
      </c>
      <c r="D66" s="34" t="s">
        <v>82</v>
      </c>
      <c r="E66" s="33" t="s">
        <v>23</v>
      </c>
      <c r="F66" s="33">
        <v>311.04</v>
      </c>
      <c r="G66" s="35">
        <v>6.96</v>
      </c>
      <c r="H66" s="36">
        <v>1.2223</v>
      </c>
      <c r="I66" s="35">
        <f t="shared" si="21"/>
        <v>8.507208</v>
      </c>
      <c r="J66" s="37">
        <f t="shared" si="22"/>
        <v>8.51</v>
      </c>
      <c r="K66" s="35">
        <f t="shared" si="23"/>
        <v>2646.9504</v>
      </c>
      <c r="L66" s="24"/>
      <c r="M66" s="24"/>
    </row>
    <row r="67" spans="1:13" ht="24">
      <c r="A67" s="46" t="s">
        <v>127</v>
      </c>
      <c r="B67" s="46" t="s">
        <v>41</v>
      </c>
      <c r="C67" s="46">
        <v>95472</v>
      </c>
      <c r="D67" s="47" t="s">
        <v>128</v>
      </c>
      <c r="E67" s="46" t="s">
        <v>45</v>
      </c>
      <c r="F67" s="46">
        <v>2</v>
      </c>
      <c r="G67" s="48">
        <v>729.49</v>
      </c>
      <c r="H67" s="49">
        <v>1.2223</v>
      </c>
      <c r="I67" s="48">
        <f t="shared" si="21"/>
        <v>891.655627</v>
      </c>
      <c r="J67" s="50">
        <f t="shared" si="22"/>
        <v>891.66</v>
      </c>
      <c r="K67" s="48">
        <f t="shared" si="23"/>
        <v>1783.32</v>
      </c>
      <c r="L67" s="24"/>
      <c r="M67" s="24"/>
    </row>
    <row r="68" spans="1:13" ht="24">
      <c r="A68" s="33" t="s">
        <v>129</v>
      </c>
      <c r="B68" s="33" t="s">
        <v>41</v>
      </c>
      <c r="C68" s="33">
        <v>95470</v>
      </c>
      <c r="D68" s="34" t="s">
        <v>130</v>
      </c>
      <c r="E68" s="33" t="s">
        <v>45</v>
      </c>
      <c r="F68" s="33">
        <v>5</v>
      </c>
      <c r="G68" s="35">
        <v>297.05</v>
      </c>
      <c r="H68" s="36">
        <v>1.2223</v>
      </c>
      <c r="I68" s="35">
        <f t="shared" si="21"/>
        <v>363.084215</v>
      </c>
      <c r="J68" s="37">
        <f t="shared" si="22"/>
        <v>363.08</v>
      </c>
      <c r="K68" s="35">
        <f t="shared" si="23"/>
        <v>1815.3999999999999</v>
      </c>
      <c r="L68" s="24"/>
      <c r="M68" s="24"/>
    </row>
    <row r="69" spans="1:13" ht="20.25">
      <c r="A69" s="46" t="s">
        <v>131</v>
      </c>
      <c r="B69" s="46" t="s">
        <v>41</v>
      </c>
      <c r="C69" s="46">
        <v>100859</v>
      </c>
      <c r="D69" s="47" t="s">
        <v>132</v>
      </c>
      <c r="E69" s="46" t="s">
        <v>45</v>
      </c>
      <c r="F69" s="46">
        <v>3</v>
      </c>
      <c r="G69" s="48">
        <v>947.74</v>
      </c>
      <c r="H69" s="49">
        <v>1.2223</v>
      </c>
      <c r="I69" s="48">
        <f t="shared" si="21"/>
        <v>1158.4226019999999</v>
      </c>
      <c r="J69" s="50">
        <f t="shared" si="22"/>
        <v>1158.42</v>
      </c>
      <c r="K69" s="48">
        <f t="shared" si="23"/>
        <v>3475.26</v>
      </c>
      <c r="L69" s="24"/>
      <c r="M69" s="24"/>
    </row>
    <row r="70" spans="1:13" ht="20.25">
      <c r="A70" s="51" t="s">
        <v>133</v>
      </c>
      <c r="B70" s="51" t="s">
        <v>26</v>
      </c>
      <c r="C70" s="51" t="s">
        <v>134</v>
      </c>
      <c r="D70" s="52" t="s">
        <v>135</v>
      </c>
      <c r="E70" s="51" t="s">
        <v>45</v>
      </c>
      <c r="F70" s="51">
        <v>6</v>
      </c>
      <c r="G70" s="53">
        <f>150.9/1.195</f>
        <v>126.27615062761507</v>
      </c>
      <c r="H70" s="54">
        <v>1.2223</v>
      </c>
      <c r="I70" s="53">
        <f t="shared" si="21"/>
        <v>154.3473389121339</v>
      </c>
      <c r="J70" s="55">
        <f t="shared" si="22"/>
        <v>154.35</v>
      </c>
      <c r="K70" s="53">
        <f t="shared" si="23"/>
        <v>926.0999999999999</v>
      </c>
      <c r="L70" s="24"/>
      <c r="M70" s="24"/>
    </row>
    <row r="71" spans="1:13" ht="2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4"/>
      <c r="M71" s="24"/>
    </row>
    <row r="72" spans="1:13" ht="20.25">
      <c r="A72" s="16">
        <v>6</v>
      </c>
      <c r="B72" s="17" t="s">
        <v>136</v>
      </c>
      <c r="C72" s="17"/>
      <c r="D72" s="17"/>
      <c r="E72" s="17"/>
      <c r="F72" s="17"/>
      <c r="G72" s="17"/>
      <c r="H72" s="17"/>
      <c r="I72" s="17"/>
      <c r="J72" s="17"/>
      <c r="K72" s="27">
        <f>K73</f>
        <v>106769.24799999999</v>
      </c>
      <c r="L72" s="24"/>
      <c r="M72" s="24"/>
    </row>
    <row r="73" spans="1:13" ht="20.25">
      <c r="A73" s="19" t="s">
        <v>137</v>
      </c>
      <c r="B73" s="19" t="s">
        <v>41</v>
      </c>
      <c r="C73" s="19">
        <v>88489</v>
      </c>
      <c r="D73" s="20" t="s">
        <v>86</v>
      </c>
      <c r="E73" s="19" t="s">
        <v>23</v>
      </c>
      <c r="F73" s="19">
        <f>5995.32+515</f>
        <v>6510.32</v>
      </c>
      <c r="G73" s="21">
        <v>13.42</v>
      </c>
      <c r="H73" s="22">
        <v>1.2223</v>
      </c>
      <c r="I73" s="21">
        <f>H73*G73</f>
        <v>16.403266</v>
      </c>
      <c r="J73" s="23">
        <f>ROUND(I73,2)</f>
        <v>16.4</v>
      </c>
      <c r="K73" s="21">
        <f>J73*F73</f>
        <v>106769.24799999999</v>
      </c>
      <c r="L73" s="24"/>
      <c r="M73" s="24"/>
    </row>
    <row r="74" spans="1:13" ht="2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4"/>
      <c r="M74" s="24"/>
    </row>
    <row r="75" spans="1:13" ht="20.25">
      <c r="A75" s="16">
        <v>7</v>
      </c>
      <c r="B75" s="17" t="s">
        <v>138</v>
      </c>
      <c r="C75" s="17"/>
      <c r="D75" s="17"/>
      <c r="E75" s="17"/>
      <c r="F75" s="17"/>
      <c r="G75" s="17"/>
      <c r="H75" s="17"/>
      <c r="I75" s="17"/>
      <c r="J75" s="17"/>
      <c r="K75" s="27">
        <f>K76+K80</f>
        <v>229381.1856</v>
      </c>
      <c r="L75" s="24"/>
      <c r="M75" s="24"/>
    </row>
    <row r="76" spans="1:13" ht="20.25">
      <c r="A76" s="43" t="s">
        <v>139</v>
      </c>
      <c r="B76" s="44" t="s">
        <v>140</v>
      </c>
      <c r="C76" s="44"/>
      <c r="D76" s="44"/>
      <c r="E76" s="44"/>
      <c r="F76" s="44"/>
      <c r="G76" s="44"/>
      <c r="H76" s="44"/>
      <c r="I76" s="44"/>
      <c r="J76" s="44"/>
      <c r="K76" s="45">
        <f>SUM(K77:K79)</f>
        <v>3572.3005999999996</v>
      </c>
      <c r="L76" s="24"/>
      <c r="M76" s="24"/>
    </row>
    <row r="77" spans="1:13" ht="20.25">
      <c r="A77" s="59" t="s">
        <v>141</v>
      </c>
      <c r="B77" s="59" t="s">
        <v>26</v>
      </c>
      <c r="C77" s="59" t="s">
        <v>142</v>
      </c>
      <c r="D77" s="60" t="s">
        <v>143</v>
      </c>
      <c r="E77" s="59" t="s">
        <v>45</v>
      </c>
      <c r="F77" s="59">
        <v>93</v>
      </c>
      <c r="G77" s="61">
        <f>11.18/1.195</f>
        <v>9.355648535564853</v>
      </c>
      <c r="H77" s="62">
        <v>1.2223</v>
      </c>
      <c r="I77" s="61">
        <f aca="true" t="shared" si="24" ref="I77:I79">H77*G77</f>
        <v>11.43540920502092</v>
      </c>
      <c r="J77" s="63">
        <f aca="true" t="shared" si="25" ref="J77:J79">ROUND(I77,2)</f>
        <v>11.44</v>
      </c>
      <c r="K77" s="61">
        <f aca="true" t="shared" si="26" ref="K77:K79">J77*F77</f>
        <v>1063.9199999999998</v>
      </c>
      <c r="L77" s="24"/>
      <c r="M77" s="24"/>
    </row>
    <row r="78" spans="1:13" ht="20.25">
      <c r="A78" s="46" t="s">
        <v>144</v>
      </c>
      <c r="B78" s="46" t="s">
        <v>26</v>
      </c>
      <c r="C78" s="46" t="s">
        <v>30</v>
      </c>
      <c r="D78" s="47" t="s">
        <v>31</v>
      </c>
      <c r="E78" s="46" t="s">
        <v>32</v>
      </c>
      <c r="F78" s="46">
        <v>14.27</v>
      </c>
      <c r="G78" s="48">
        <f>101.46/1.195</f>
        <v>84.90376569037656</v>
      </c>
      <c r="H78" s="49">
        <v>1.2223</v>
      </c>
      <c r="I78" s="48">
        <f t="shared" si="24"/>
        <v>103.77787280334726</v>
      </c>
      <c r="J78" s="50">
        <f t="shared" si="25"/>
        <v>103.78</v>
      </c>
      <c r="K78" s="48">
        <f t="shared" si="26"/>
        <v>1480.9406</v>
      </c>
      <c r="L78" s="24"/>
      <c r="M78" s="24"/>
    </row>
    <row r="79" spans="1:13" ht="20.25">
      <c r="A79" s="51" t="s">
        <v>145</v>
      </c>
      <c r="B79" s="51" t="s">
        <v>26</v>
      </c>
      <c r="C79" s="51" t="s">
        <v>34</v>
      </c>
      <c r="D79" s="52" t="s">
        <v>35</v>
      </c>
      <c r="E79" s="51" t="s">
        <v>36</v>
      </c>
      <c r="F79" s="51">
        <v>428.1</v>
      </c>
      <c r="G79" s="53">
        <f>2.35/1.195</f>
        <v>1.9665271966527196</v>
      </c>
      <c r="H79" s="54">
        <v>1.2223</v>
      </c>
      <c r="I79" s="53">
        <f t="shared" si="24"/>
        <v>2.403686192468619</v>
      </c>
      <c r="J79" s="55">
        <f t="shared" si="25"/>
        <v>2.4</v>
      </c>
      <c r="K79" s="53">
        <f t="shared" si="26"/>
        <v>1027.44</v>
      </c>
      <c r="L79" s="24"/>
      <c r="M79" s="24"/>
    </row>
    <row r="80" spans="1:13" ht="20.25">
      <c r="A80" s="56" t="s">
        <v>146</v>
      </c>
      <c r="B80" s="57" t="s">
        <v>147</v>
      </c>
      <c r="C80" s="57"/>
      <c r="D80" s="57"/>
      <c r="E80" s="57"/>
      <c r="F80" s="57"/>
      <c r="G80" s="57"/>
      <c r="H80" s="57"/>
      <c r="I80" s="57"/>
      <c r="J80" s="57"/>
      <c r="K80" s="58">
        <f>SUM(K81:K90)</f>
        <v>225808.885</v>
      </c>
      <c r="L80" s="24"/>
      <c r="M80" s="24"/>
    </row>
    <row r="81" spans="1:13" ht="24.75">
      <c r="A81" s="59" t="s">
        <v>148</v>
      </c>
      <c r="B81" s="59" t="s">
        <v>41</v>
      </c>
      <c r="C81" s="59">
        <v>94569</v>
      </c>
      <c r="D81" s="60" t="s">
        <v>149</v>
      </c>
      <c r="E81" s="59" t="s">
        <v>23</v>
      </c>
      <c r="F81" s="59">
        <v>1</v>
      </c>
      <c r="G81" s="61">
        <v>620.34</v>
      </c>
      <c r="H81" s="62">
        <v>1.2223</v>
      </c>
      <c r="I81" s="61">
        <f aca="true" t="shared" si="27" ref="I81:I90">H81*G81</f>
        <v>758.241582</v>
      </c>
      <c r="J81" s="63">
        <f aca="true" t="shared" si="28" ref="J81:J90">ROUND(I81,2)</f>
        <v>758.24</v>
      </c>
      <c r="K81" s="61">
        <f aca="true" t="shared" si="29" ref="K81:K90">J81*F81</f>
        <v>758.24</v>
      </c>
      <c r="L81" s="24"/>
      <c r="M81" s="24"/>
    </row>
    <row r="82" spans="1:13" ht="20.25">
      <c r="A82" s="46" t="s">
        <v>150</v>
      </c>
      <c r="B82" s="46" t="s">
        <v>26</v>
      </c>
      <c r="C82" s="46" t="s">
        <v>151</v>
      </c>
      <c r="D82" s="47" t="s">
        <v>152</v>
      </c>
      <c r="E82" s="46" t="s">
        <v>23</v>
      </c>
      <c r="F82" s="46">
        <v>42.5</v>
      </c>
      <c r="G82" s="48">
        <f>1684/1.195</f>
        <v>1409.205020920502</v>
      </c>
      <c r="H82" s="49">
        <v>1.2223</v>
      </c>
      <c r="I82" s="48">
        <f t="shared" si="27"/>
        <v>1722.4712970711296</v>
      </c>
      <c r="J82" s="50">
        <f t="shared" si="28"/>
        <v>1722.47</v>
      </c>
      <c r="K82" s="48">
        <f t="shared" si="29"/>
        <v>73204.975</v>
      </c>
      <c r="L82" s="24"/>
      <c r="M82" s="24"/>
    </row>
    <row r="83" spans="1:13" ht="20.25">
      <c r="A83" s="33" t="s">
        <v>153</v>
      </c>
      <c r="B83" s="33" t="s">
        <v>26</v>
      </c>
      <c r="C83" s="33" t="s">
        <v>154</v>
      </c>
      <c r="D83" s="34" t="s">
        <v>155</v>
      </c>
      <c r="E83" s="33" t="s">
        <v>23</v>
      </c>
      <c r="F83" s="33">
        <v>42.5</v>
      </c>
      <c r="G83" s="35">
        <f>187.81/1.195</f>
        <v>157.16317991631797</v>
      </c>
      <c r="H83" s="36">
        <v>1.2223</v>
      </c>
      <c r="I83" s="35">
        <f t="shared" si="27"/>
        <v>192.10055481171545</v>
      </c>
      <c r="J83" s="37">
        <f t="shared" si="28"/>
        <v>192.1</v>
      </c>
      <c r="K83" s="35">
        <f t="shared" si="29"/>
        <v>8164.25</v>
      </c>
      <c r="L83" s="24"/>
      <c r="M83" s="24"/>
    </row>
    <row r="84" spans="1:13" ht="30.75">
      <c r="A84" s="46" t="s">
        <v>156</v>
      </c>
      <c r="B84" s="46" t="s">
        <v>41</v>
      </c>
      <c r="C84" s="46">
        <v>90841</v>
      </c>
      <c r="D84" s="47" t="s">
        <v>157</v>
      </c>
      <c r="E84" s="46" t="s">
        <v>45</v>
      </c>
      <c r="F84" s="46">
        <v>12</v>
      </c>
      <c r="G84" s="48">
        <v>1261.13</v>
      </c>
      <c r="H84" s="49">
        <v>1.2223</v>
      </c>
      <c r="I84" s="48">
        <f t="shared" si="27"/>
        <v>1541.479199</v>
      </c>
      <c r="J84" s="50">
        <f t="shared" si="28"/>
        <v>1541.48</v>
      </c>
      <c r="K84" s="48">
        <f t="shared" si="29"/>
        <v>18497.760000000002</v>
      </c>
      <c r="L84" s="24"/>
      <c r="M84" s="24"/>
    </row>
    <row r="85" spans="1:13" ht="30.75">
      <c r="A85" s="33" t="s">
        <v>158</v>
      </c>
      <c r="B85" s="33" t="s">
        <v>41</v>
      </c>
      <c r="C85" s="33">
        <v>90843</v>
      </c>
      <c r="D85" s="34" t="s">
        <v>159</v>
      </c>
      <c r="E85" s="33" t="s">
        <v>45</v>
      </c>
      <c r="F85" s="33">
        <v>2</v>
      </c>
      <c r="G85" s="35">
        <v>1331.41</v>
      </c>
      <c r="H85" s="36">
        <v>1.2223</v>
      </c>
      <c r="I85" s="35">
        <f t="shared" si="27"/>
        <v>1627.382443</v>
      </c>
      <c r="J85" s="37">
        <f t="shared" si="28"/>
        <v>1627.38</v>
      </c>
      <c r="K85" s="35">
        <f t="shared" si="29"/>
        <v>3254.76</v>
      </c>
      <c r="L85" s="24"/>
      <c r="M85" s="24"/>
    </row>
    <row r="86" spans="1:13" ht="30.75">
      <c r="A86" s="46" t="s">
        <v>160</v>
      </c>
      <c r="B86" s="46" t="s">
        <v>41</v>
      </c>
      <c r="C86" s="46">
        <v>90844</v>
      </c>
      <c r="D86" s="47" t="s">
        <v>161</v>
      </c>
      <c r="E86" s="46" t="s">
        <v>45</v>
      </c>
      <c r="F86" s="46">
        <v>13</v>
      </c>
      <c r="G86" s="48">
        <v>1422.56</v>
      </c>
      <c r="H86" s="49">
        <v>1.2223</v>
      </c>
      <c r="I86" s="48">
        <f t="shared" si="27"/>
        <v>1738.7950879999999</v>
      </c>
      <c r="J86" s="50">
        <f t="shared" si="28"/>
        <v>1738.8</v>
      </c>
      <c r="K86" s="48">
        <f t="shared" si="29"/>
        <v>22604.399999999998</v>
      </c>
      <c r="L86" s="24"/>
      <c r="M86" s="24"/>
    </row>
    <row r="87" spans="1:13" ht="20.25">
      <c r="A87" s="33" t="s">
        <v>162</v>
      </c>
      <c r="B87" s="33" t="s">
        <v>80</v>
      </c>
      <c r="C87" s="33" t="s">
        <v>163</v>
      </c>
      <c r="D87" s="34" t="s">
        <v>164</v>
      </c>
      <c r="E87" s="33" t="s">
        <v>23</v>
      </c>
      <c r="F87" s="33">
        <v>48</v>
      </c>
      <c r="G87" s="35">
        <v>1057.18</v>
      </c>
      <c r="H87" s="36">
        <v>1.2223</v>
      </c>
      <c r="I87" s="35">
        <f t="shared" si="27"/>
        <v>1292.191114</v>
      </c>
      <c r="J87" s="37">
        <f t="shared" si="28"/>
        <v>1292.19</v>
      </c>
      <c r="K87" s="35">
        <f t="shared" si="29"/>
        <v>62025.12</v>
      </c>
      <c r="L87" s="24"/>
      <c r="M87" s="24"/>
    </row>
    <row r="88" spans="1:13" ht="20.25">
      <c r="A88" s="46" t="s">
        <v>165</v>
      </c>
      <c r="B88" s="46" t="s">
        <v>26</v>
      </c>
      <c r="C88" s="46" t="s">
        <v>154</v>
      </c>
      <c r="D88" s="47" t="s">
        <v>155</v>
      </c>
      <c r="E88" s="46" t="s">
        <v>23</v>
      </c>
      <c r="F88" s="46">
        <v>48</v>
      </c>
      <c r="G88" s="48">
        <f>187.81/1.195</f>
        <v>157.16317991631797</v>
      </c>
      <c r="H88" s="49">
        <v>1.2223</v>
      </c>
      <c r="I88" s="48">
        <f t="shared" si="27"/>
        <v>192.10055481171545</v>
      </c>
      <c r="J88" s="50">
        <f t="shared" si="28"/>
        <v>192.1</v>
      </c>
      <c r="K88" s="48">
        <f t="shared" si="29"/>
        <v>9220.8</v>
      </c>
      <c r="L88" s="24"/>
      <c r="M88" s="24"/>
    </row>
    <row r="89" spans="1:13" ht="20.25">
      <c r="A89" s="33" t="s">
        <v>166</v>
      </c>
      <c r="B89" s="33" t="s">
        <v>26</v>
      </c>
      <c r="C89" s="33" t="s">
        <v>167</v>
      </c>
      <c r="D89" s="34" t="s">
        <v>168</v>
      </c>
      <c r="E89" s="33" t="s">
        <v>45</v>
      </c>
      <c r="F89" s="33">
        <v>8</v>
      </c>
      <c r="G89" s="35">
        <f>1163.21/1.195</f>
        <v>973.3974895397489</v>
      </c>
      <c r="H89" s="36">
        <v>1.2223</v>
      </c>
      <c r="I89" s="35">
        <f t="shared" si="27"/>
        <v>1189.783751464435</v>
      </c>
      <c r="J89" s="37">
        <f t="shared" si="28"/>
        <v>1189.78</v>
      </c>
      <c r="K89" s="35">
        <f t="shared" si="29"/>
        <v>9518.24</v>
      </c>
      <c r="L89" s="24"/>
      <c r="M89" s="24"/>
    </row>
    <row r="90" spans="1:13" ht="20.25">
      <c r="A90" s="38" t="s">
        <v>169</v>
      </c>
      <c r="B90" s="38" t="s">
        <v>170</v>
      </c>
      <c r="C90" s="38">
        <v>101965</v>
      </c>
      <c r="D90" s="39" t="s">
        <v>171</v>
      </c>
      <c r="E90" s="38" t="s">
        <v>52</v>
      </c>
      <c r="F90" s="38">
        <v>97.2</v>
      </c>
      <c r="G90" s="40">
        <v>156.22</v>
      </c>
      <c r="H90" s="41">
        <v>1.2223</v>
      </c>
      <c r="I90" s="40">
        <f t="shared" si="27"/>
        <v>190.94770599999998</v>
      </c>
      <c r="J90" s="42">
        <f t="shared" si="28"/>
        <v>190.95</v>
      </c>
      <c r="K90" s="40">
        <f t="shared" si="29"/>
        <v>18560.34</v>
      </c>
      <c r="L90" s="24"/>
      <c r="M90" s="24"/>
    </row>
    <row r="91" spans="1:13" ht="20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24"/>
      <c r="M91" s="24"/>
    </row>
    <row r="92" spans="1:13" ht="20.25">
      <c r="A92" s="16">
        <v>8</v>
      </c>
      <c r="B92" s="17" t="s">
        <v>172</v>
      </c>
      <c r="C92" s="17"/>
      <c r="D92" s="17"/>
      <c r="E92" s="17"/>
      <c r="F92" s="17"/>
      <c r="G92" s="17"/>
      <c r="H92" s="17"/>
      <c r="I92" s="17"/>
      <c r="J92" s="17"/>
      <c r="K92" s="27">
        <f>K93+K100+K102</f>
        <v>242415.4395</v>
      </c>
      <c r="L92" s="24"/>
      <c r="M92" s="24"/>
    </row>
    <row r="93" spans="1:13" ht="20.25">
      <c r="A93" s="43" t="s">
        <v>173</v>
      </c>
      <c r="B93" s="44" t="s">
        <v>174</v>
      </c>
      <c r="C93" s="44"/>
      <c r="D93" s="44"/>
      <c r="E93" s="44"/>
      <c r="F93" s="44"/>
      <c r="G93" s="44"/>
      <c r="H93" s="44"/>
      <c r="I93" s="44"/>
      <c r="J93" s="44"/>
      <c r="K93" s="45">
        <f>SUM(K94:K99)</f>
        <v>188840.9108</v>
      </c>
      <c r="L93" s="24"/>
      <c r="M93" s="24"/>
    </row>
    <row r="94" spans="1:13" ht="24.75">
      <c r="A94" s="59" t="s">
        <v>175</v>
      </c>
      <c r="B94" s="59" t="s">
        <v>41</v>
      </c>
      <c r="C94" s="59">
        <v>92542</v>
      </c>
      <c r="D94" s="60" t="s">
        <v>42</v>
      </c>
      <c r="E94" s="59" t="s">
        <v>23</v>
      </c>
      <c r="F94" s="59">
        <v>383.32</v>
      </c>
      <c r="G94" s="61">
        <v>118.72</v>
      </c>
      <c r="H94" s="62">
        <v>1.2223</v>
      </c>
      <c r="I94" s="61">
        <f aca="true" t="shared" si="30" ref="I94:I99">H94*G94</f>
        <v>145.111456</v>
      </c>
      <c r="J94" s="63">
        <f aca="true" t="shared" si="31" ref="J94:J99">ROUND(I94,2)</f>
        <v>145.11</v>
      </c>
      <c r="K94" s="61">
        <f aca="true" t="shared" si="32" ref="K94:K99">J94*F94</f>
        <v>55623.565200000005</v>
      </c>
      <c r="L94" s="24"/>
      <c r="M94" s="24"/>
    </row>
    <row r="95" spans="1:13" ht="20.25">
      <c r="A95" s="46" t="s">
        <v>176</v>
      </c>
      <c r="B95" s="46" t="s">
        <v>41</v>
      </c>
      <c r="C95" s="46">
        <v>94443</v>
      </c>
      <c r="D95" s="47" t="s">
        <v>49</v>
      </c>
      <c r="E95" s="46" t="s">
        <v>23</v>
      </c>
      <c r="F95" s="46">
        <v>517.48</v>
      </c>
      <c r="G95" s="48">
        <v>59.03</v>
      </c>
      <c r="H95" s="49">
        <v>1.2223</v>
      </c>
      <c r="I95" s="48">
        <f t="shared" si="30"/>
        <v>72.152369</v>
      </c>
      <c r="J95" s="50">
        <f t="shared" si="31"/>
        <v>72.15</v>
      </c>
      <c r="K95" s="48">
        <f t="shared" si="32"/>
        <v>37336.182</v>
      </c>
      <c r="L95" s="24"/>
      <c r="M95" s="24"/>
    </row>
    <row r="96" spans="1:13" ht="24.75">
      <c r="A96" s="33" t="s">
        <v>177</v>
      </c>
      <c r="B96" s="33" t="s">
        <v>41</v>
      </c>
      <c r="C96" s="33">
        <v>100364</v>
      </c>
      <c r="D96" s="34" t="s">
        <v>44</v>
      </c>
      <c r="E96" s="33" t="s">
        <v>45</v>
      </c>
      <c r="F96" s="33">
        <v>4</v>
      </c>
      <c r="G96" s="35">
        <v>3532.8</v>
      </c>
      <c r="H96" s="36">
        <v>1.2223</v>
      </c>
      <c r="I96" s="35">
        <f t="shared" si="30"/>
        <v>4318.14144</v>
      </c>
      <c r="J96" s="37">
        <f t="shared" si="31"/>
        <v>4318.14</v>
      </c>
      <c r="K96" s="35">
        <f t="shared" si="32"/>
        <v>17272.56</v>
      </c>
      <c r="L96" s="24"/>
      <c r="M96" s="24"/>
    </row>
    <row r="97" spans="1:13" ht="20.25">
      <c r="A97" s="46" t="s">
        <v>178</v>
      </c>
      <c r="B97" s="46" t="s">
        <v>41</v>
      </c>
      <c r="C97" s="46">
        <v>94226</v>
      </c>
      <c r="D97" s="47" t="s">
        <v>47</v>
      </c>
      <c r="E97" s="46" t="s">
        <v>23</v>
      </c>
      <c r="F97" s="46">
        <v>517.48</v>
      </c>
      <c r="G97" s="48">
        <v>22.66</v>
      </c>
      <c r="H97" s="49">
        <v>1.2223</v>
      </c>
      <c r="I97" s="48">
        <f t="shared" si="30"/>
        <v>27.697318</v>
      </c>
      <c r="J97" s="50">
        <f t="shared" si="31"/>
        <v>27.7</v>
      </c>
      <c r="K97" s="48">
        <f t="shared" si="32"/>
        <v>14334.196</v>
      </c>
      <c r="L97" s="24"/>
      <c r="M97" s="24"/>
    </row>
    <row r="98" spans="1:13" ht="20.25">
      <c r="A98" s="33" t="s">
        <v>179</v>
      </c>
      <c r="B98" s="33" t="s">
        <v>41</v>
      </c>
      <c r="C98" s="33">
        <v>94229</v>
      </c>
      <c r="D98" s="34" t="s">
        <v>54</v>
      </c>
      <c r="E98" s="33" t="s">
        <v>52</v>
      </c>
      <c r="F98" s="33">
        <v>106.6</v>
      </c>
      <c r="G98" s="35">
        <v>171.08</v>
      </c>
      <c r="H98" s="36">
        <v>1.2223</v>
      </c>
      <c r="I98" s="35">
        <f t="shared" si="30"/>
        <v>209.111084</v>
      </c>
      <c r="J98" s="37">
        <f t="shared" si="31"/>
        <v>209.11</v>
      </c>
      <c r="K98" s="35">
        <f t="shared" si="32"/>
        <v>22291.126</v>
      </c>
      <c r="L98" s="24"/>
      <c r="M98" s="24"/>
    </row>
    <row r="99" spans="1:13" ht="20.25">
      <c r="A99" s="38" t="s">
        <v>180</v>
      </c>
      <c r="B99" s="38" t="s">
        <v>80</v>
      </c>
      <c r="C99" s="38" t="s">
        <v>110</v>
      </c>
      <c r="D99" s="39" t="s">
        <v>111</v>
      </c>
      <c r="E99" s="38" t="s">
        <v>23</v>
      </c>
      <c r="F99" s="38">
        <v>335.92</v>
      </c>
      <c r="G99" s="40">
        <v>102.25</v>
      </c>
      <c r="H99" s="41">
        <v>1.2223</v>
      </c>
      <c r="I99" s="40">
        <f t="shared" si="30"/>
        <v>124.98017499999999</v>
      </c>
      <c r="J99" s="42">
        <f t="shared" si="31"/>
        <v>124.98</v>
      </c>
      <c r="K99" s="40">
        <f t="shared" si="32"/>
        <v>41983.2816</v>
      </c>
      <c r="L99" s="24"/>
      <c r="M99" s="24"/>
    </row>
    <row r="100" spans="1:13" ht="20.25">
      <c r="A100" s="56" t="s">
        <v>181</v>
      </c>
      <c r="B100" s="57" t="s">
        <v>182</v>
      </c>
      <c r="C100" s="57"/>
      <c r="D100" s="57"/>
      <c r="E100" s="57"/>
      <c r="F100" s="57"/>
      <c r="G100" s="57"/>
      <c r="H100" s="57"/>
      <c r="I100" s="57"/>
      <c r="J100" s="57"/>
      <c r="K100" s="58">
        <f>K101</f>
        <v>3768.72</v>
      </c>
      <c r="L100" s="24"/>
      <c r="M100" s="24"/>
    </row>
    <row r="101" spans="1:13" ht="20.25">
      <c r="A101" s="19" t="s">
        <v>183</v>
      </c>
      <c r="B101" s="19" t="s">
        <v>184</v>
      </c>
      <c r="C101" s="19">
        <v>88489</v>
      </c>
      <c r="D101" s="20" t="s">
        <v>185</v>
      </c>
      <c r="E101" s="19" t="s">
        <v>23</v>
      </c>
      <c r="F101" s="19">
        <v>229.8</v>
      </c>
      <c r="G101" s="21">
        <v>13.42</v>
      </c>
      <c r="H101" s="22">
        <v>1.2223</v>
      </c>
      <c r="I101" s="21">
        <f>H101*G101</f>
        <v>16.403266</v>
      </c>
      <c r="J101" s="23">
        <f>ROUND(I101,2)</f>
        <v>16.4</v>
      </c>
      <c r="K101" s="21">
        <f>J101*F101</f>
        <v>3768.72</v>
      </c>
      <c r="L101" s="24"/>
      <c r="M101" s="24"/>
    </row>
    <row r="102" spans="1:13" ht="20.25">
      <c r="A102" s="56" t="s">
        <v>186</v>
      </c>
      <c r="B102" s="57" t="s">
        <v>187</v>
      </c>
      <c r="C102" s="57"/>
      <c r="D102" s="57"/>
      <c r="E102" s="57"/>
      <c r="F102" s="57"/>
      <c r="G102" s="57"/>
      <c r="H102" s="57"/>
      <c r="I102" s="57"/>
      <c r="J102" s="57"/>
      <c r="K102" s="58">
        <f>SUM(K103:K107)</f>
        <v>49805.8087</v>
      </c>
      <c r="L102" s="24"/>
      <c r="M102" s="24"/>
    </row>
    <row r="103" spans="1:13" ht="24.75">
      <c r="A103" s="28" t="s">
        <v>188</v>
      </c>
      <c r="B103" s="28" t="s">
        <v>41</v>
      </c>
      <c r="C103" s="28">
        <v>92542</v>
      </c>
      <c r="D103" s="29" t="s">
        <v>42</v>
      </c>
      <c r="E103" s="28" t="s">
        <v>23</v>
      </c>
      <c r="F103" s="28">
        <v>87.15</v>
      </c>
      <c r="G103" s="30">
        <v>118.72</v>
      </c>
      <c r="H103" s="31">
        <v>1.2223</v>
      </c>
      <c r="I103" s="30">
        <f aca="true" t="shared" si="33" ref="I103:I107">H103*G103</f>
        <v>145.111456</v>
      </c>
      <c r="J103" s="32">
        <f aca="true" t="shared" si="34" ref="J103:J107">ROUND(I103,2)</f>
        <v>145.11</v>
      </c>
      <c r="K103" s="30">
        <f aca="true" t="shared" si="35" ref="K103:K107">J103*F103</f>
        <v>12646.336500000001</v>
      </c>
      <c r="L103" s="24"/>
      <c r="M103" s="24"/>
    </row>
    <row r="104" spans="1:13" ht="20.25">
      <c r="A104" s="33" t="s">
        <v>189</v>
      </c>
      <c r="B104" s="33" t="s">
        <v>41</v>
      </c>
      <c r="C104" s="33">
        <v>94443</v>
      </c>
      <c r="D104" s="34" t="s">
        <v>49</v>
      </c>
      <c r="E104" s="33" t="s">
        <v>23</v>
      </c>
      <c r="F104" s="33">
        <v>117.66</v>
      </c>
      <c r="G104" s="35">
        <v>59.03</v>
      </c>
      <c r="H104" s="36">
        <v>1.2223</v>
      </c>
      <c r="I104" s="35">
        <f t="shared" si="33"/>
        <v>72.152369</v>
      </c>
      <c r="J104" s="37">
        <f t="shared" si="34"/>
        <v>72.15</v>
      </c>
      <c r="K104" s="35">
        <f t="shared" si="35"/>
        <v>8489.169</v>
      </c>
      <c r="L104" s="24"/>
      <c r="M104" s="24"/>
    </row>
    <row r="105" spans="1:13" ht="24.75">
      <c r="A105" s="46" t="s">
        <v>190</v>
      </c>
      <c r="B105" s="46" t="s">
        <v>41</v>
      </c>
      <c r="C105" s="46">
        <v>100364</v>
      </c>
      <c r="D105" s="47" t="s">
        <v>44</v>
      </c>
      <c r="E105" s="46" t="s">
        <v>45</v>
      </c>
      <c r="F105" s="46">
        <v>4</v>
      </c>
      <c r="G105" s="48">
        <v>3532.8</v>
      </c>
      <c r="H105" s="49">
        <v>1.2223</v>
      </c>
      <c r="I105" s="48">
        <f t="shared" si="33"/>
        <v>4318.14144</v>
      </c>
      <c r="J105" s="50">
        <f t="shared" si="34"/>
        <v>4318.14</v>
      </c>
      <c r="K105" s="48">
        <f t="shared" si="35"/>
        <v>17272.56</v>
      </c>
      <c r="L105" s="24"/>
      <c r="M105" s="24"/>
    </row>
    <row r="106" spans="1:13" ht="20.25">
      <c r="A106" s="33" t="s">
        <v>191</v>
      </c>
      <c r="B106" s="33" t="s">
        <v>41</v>
      </c>
      <c r="C106" s="33">
        <v>94226</v>
      </c>
      <c r="D106" s="34" t="s">
        <v>47</v>
      </c>
      <c r="E106" s="33" t="s">
        <v>23</v>
      </c>
      <c r="F106" s="33">
        <v>117.66</v>
      </c>
      <c r="G106" s="35">
        <v>22.66</v>
      </c>
      <c r="H106" s="36">
        <v>1.2223</v>
      </c>
      <c r="I106" s="35">
        <f t="shared" si="33"/>
        <v>27.697318</v>
      </c>
      <c r="J106" s="37">
        <f t="shared" si="34"/>
        <v>27.7</v>
      </c>
      <c r="K106" s="35">
        <f t="shared" si="35"/>
        <v>3259.182</v>
      </c>
      <c r="L106" s="24"/>
      <c r="M106" s="24"/>
    </row>
    <row r="107" spans="1:13" ht="20.25">
      <c r="A107" s="38" t="s">
        <v>192</v>
      </c>
      <c r="B107" s="38" t="s">
        <v>41</v>
      </c>
      <c r="C107" s="38">
        <v>94229</v>
      </c>
      <c r="D107" s="39" t="s">
        <v>54</v>
      </c>
      <c r="E107" s="38" t="s">
        <v>52</v>
      </c>
      <c r="F107" s="38">
        <v>38.92</v>
      </c>
      <c r="G107" s="40">
        <v>171.08</v>
      </c>
      <c r="H107" s="41">
        <v>1.2223</v>
      </c>
      <c r="I107" s="40">
        <f t="shared" si="33"/>
        <v>209.111084</v>
      </c>
      <c r="J107" s="42">
        <f t="shared" si="34"/>
        <v>209.11</v>
      </c>
      <c r="K107" s="40">
        <f t="shared" si="35"/>
        <v>8138.561200000001</v>
      </c>
      <c r="L107" s="24"/>
      <c r="M107" s="24"/>
    </row>
    <row r="108" spans="1:13" ht="2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4"/>
      <c r="M108" s="24"/>
    </row>
    <row r="109" spans="1:13" ht="20.25">
      <c r="A109" s="16">
        <v>9</v>
      </c>
      <c r="B109" s="17" t="s">
        <v>193</v>
      </c>
      <c r="C109" s="17"/>
      <c r="D109" s="17"/>
      <c r="E109" s="17"/>
      <c r="F109" s="17"/>
      <c r="G109" s="17"/>
      <c r="H109" s="17"/>
      <c r="I109" s="17"/>
      <c r="J109" s="17"/>
      <c r="K109" s="27">
        <f>K110+K120</f>
        <v>73637.7568</v>
      </c>
      <c r="L109" s="24"/>
      <c r="M109" s="24"/>
    </row>
    <row r="110" spans="1:13" ht="20.25">
      <c r="A110" s="43" t="s">
        <v>194</v>
      </c>
      <c r="B110" s="44" t="s">
        <v>195</v>
      </c>
      <c r="C110" s="44"/>
      <c r="D110" s="44"/>
      <c r="E110" s="44"/>
      <c r="F110" s="44"/>
      <c r="G110" s="44"/>
      <c r="H110" s="44"/>
      <c r="I110" s="44"/>
      <c r="J110" s="44"/>
      <c r="K110" s="45">
        <f>SUM(K111:K119)</f>
        <v>18995.5442</v>
      </c>
      <c r="L110" s="24"/>
      <c r="M110" s="24"/>
    </row>
    <row r="111" spans="1:13" ht="20.25">
      <c r="A111" s="59" t="s">
        <v>196</v>
      </c>
      <c r="B111" s="59" t="s">
        <v>41</v>
      </c>
      <c r="C111" s="59">
        <v>97625</v>
      </c>
      <c r="D111" s="60" t="s">
        <v>197</v>
      </c>
      <c r="E111" s="59" t="s">
        <v>70</v>
      </c>
      <c r="F111" s="59">
        <v>28.45</v>
      </c>
      <c r="G111" s="61">
        <v>51.1</v>
      </c>
      <c r="H111" s="62">
        <v>1.2223</v>
      </c>
      <c r="I111" s="61">
        <f aca="true" t="shared" si="36" ref="I111:I119">H111*G111</f>
        <v>62.45953</v>
      </c>
      <c r="J111" s="63">
        <f aca="true" t="shared" si="37" ref="J111:J114">ROUND(I111,2)</f>
        <v>62.46</v>
      </c>
      <c r="K111" s="61">
        <f aca="true" t="shared" si="38" ref="K111:K119">J111*F111</f>
        <v>1776.987</v>
      </c>
      <c r="L111" s="24"/>
      <c r="M111" s="24"/>
    </row>
    <row r="112" spans="1:13" ht="20.25">
      <c r="A112" s="46" t="s">
        <v>198</v>
      </c>
      <c r="B112" s="46" t="s">
        <v>26</v>
      </c>
      <c r="C112" s="46" t="s">
        <v>30</v>
      </c>
      <c r="D112" s="47" t="s">
        <v>31</v>
      </c>
      <c r="E112" s="46" t="s">
        <v>32</v>
      </c>
      <c r="F112" s="46">
        <v>28.45</v>
      </c>
      <c r="G112" s="48">
        <f>101.46/1.195</f>
        <v>84.90376569037656</v>
      </c>
      <c r="H112" s="49">
        <v>1.2223</v>
      </c>
      <c r="I112" s="48">
        <f t="shared" si="36"/>
        <v>103.77787280334726</v>
      </c>
      <c r="J112" s="50">
        <f t="shared" si="37"/>
        <v>103.78</v>
      </c>
      <c r="K112" s="48">
        <f t="shared" si="38"/>
        <v>2952.541</v>
      </c>
      <c r="L112" s="24"/>
      <c r="M112" s="24"/>
    </row>
    <row r="113" spans="1:13" ht="20.25">
      <c r="A113" s="33" t="s">
        <v>199</v>
      </c>
      <c r="B113" s="33" t="s">
        <v>26</v>
      </c>
      <c r="C113" s="33" t="s">
        <v>34</v>
      </c>
      <c r="D113" s="34" t="s">
        <v>35</v>
      </c>
      <c r="E113" s="33" t="s">
        <v>36</v>
      </c>
      <c r="F113" s="33">
        <v>854.4</v>
      </c>
      <c r="G113" s="35">
        <f>2.35/1.195</f>
        <v>1.9665271966527196</v>
      </c>
      <c r="H113" s="36">
        <v>1.2223</v>
      </c>
      <c r="I113" s="35">
        <f t="shared" si="36"/>
        <v>2.403686192468619</v>
      </c>
      <c r="J113" s="37">
        <f t="shared" si="37"/>
        <v>2.4</v>
      </c>
      <c r="K113" s="35">
        <f t="shared" si="38"/>
        <v>2050.56</v>
      </c>
      <c r="L113" s="24"/>
      <c r="M113" s="24"/>
    </row>
    <row r="114" spans="1:13" ht="20.25">
      <c r="A114" s="46" t="s">
        <v>200</v>
      </c>
      <c r="B114" s="46" t="s">
        <v>41</v>
      </c>
      <c r="C114" s="46">
        <v>101173</v>
      </c>
      <c r="D114" s="47" t="s">
        <v>201</v>
      </c>
      <c r="E114" s="46" t="s">
        <v>52</v>
      </c>
      <c r="F114" s="46">
        <v>72</v>
      </c>
      <c r="G114" s="48">
        <v>62.19</v>
      </c>
      <c r="H114" s="49">
        <v>1.2223</v>
      </c>
      <c r="I114" s="48">
        <f t="shared" si="36"/>
        <v>76.014837</v>
      </c>
      <c r="J114" s="50">
        <f t="shared" si="37"/>
        <v>76.01</v>
      </c>
      <c r="K114" s="48">
        <f t="shared" si="38"/>
        <v>5472.72</v>
      </c>
      <c r="L114" s="24"/>
      <c r="M114" s="24"/>
    </row>
    <row r="115" spans="1:13" ht="20.25">
      <c r="A115" s="33" t="s">
        <v>202</v>
      </c>
      <c r="B115" s="33" t="s">
        <v>41</v>
      </c>
      <c r="C115" s="33">
        <v>96526</v>
      </c>
      <c r="D115" s="34" t="s">
        <v>203</v>
      </c>
      <c r="E115" s="33" t="s">
        <v>70</v>
      </c>
      <c r="F115" s="33">
        <v>2.84</v>
      </c>
      <c r="G115" s="35">
        <v>379.02</v>
      </c>
      <c r="H115" s="36">
        <v>1.2223</v>
      </c>
      <c r="I115" s="35">
        <f t="shared" si="36"/>
        <v>463.276146</v>
      </c>
      <c r="J115" s="35">
        <v>428.53</v>
      </c>
      <c r="K115" s="35">
        <f t="shared" si="38"/>
        <v>1217.0251999999998</v>
      </c>
      <c r="L115" s="24"/>
      <c r="M115" s="24"/>
    </row>
    <row r="116" spans="1:13" ht="20.25">
      <c r="A116" s="46" t="s">
        <v>204</v>
      </c>
      <c r="B116" s="46" t="s">
        <v>41</v>
      </c>
      <c r="C116" s="46">
        <v>101619</v>
      </c>
      <c r="D116" s="47" t="s">
        <v>205</v>
      </c>
      <c r="E116" s="46" t="s">
        <v>70</v>
      </c>
      <c r="F116" s="46">
        <v>0.95</v>
      </c>
      <c r="G116" s="48">
        <v>274.66</v>
      </c>
      <c r="H116" s="49">
        <v>1.2223</v>
      </c>
      <c r="I116" s="48">
        <f t="shared" si="36"/>
        <v>335.716918</v>
      </c>
      <c r="J116" s="50">
        <f aca="true" t="shared" si="39" ref="J116:J119">ROUND(I116,2)</f>
        <v>335.72</v>
      </c>
      <c r="K116" s="48">
        <f t="shared" si="38"/>
        <v>318.934</v>
      </c>
      <c r="L116" s="24"/>
      <c r="M116" s="24"/>
    </row>
    <row r="117" spans="1:13" ht="20.25">
      <c r="A117" s="33" t="s">
        <v>206</v>
      </c>
      <c r="B117" s="33" t="s">
        <v>41</v>
      </c>
      <c r="C117" s="68">
        <v>92882</v>
      </c>
      <c r="D117" s="69" t="s">
        <v>207</v>
      </c>
      <c r="E117" s="33" t="s">
        <v>61</v>
      </c>
      <c r="F117" s="33">
        <v>80.54</v>
      </c>
      <c r="G117" s="35">
        <v>13.82</v>
      </c>
      <c r="H117" s="36">
        <v>1.2223</v>
      </c>
      <c r="I117" s="35">
        <f t="shared" si="36"/>
        <v>16.892186</v>
      </c>
      <c r="J117" s="37">
        <f t="shared" si="39"/>
        <v>16.89</v>
      </c>
      <c r="K117" s="35">
        <f t="shared" si="38"/>
        <v>1360.3206000000002</v>
      </c>
      <c r="L117" s="24"/>
      <c r="M117" s="24"/>
    </row>
    <row r="118" spans="1:13" ht="20.25">
      <c r="A118" s="46" t="s">
        <v>208</v>
      </c>
      <c r="B118" s="46" t="s">
        <v>41</v>
      </c>
      <c r="C118" s="46">
        <v>92884</v>
      </c>
      <c r="D118" s="47" t="s">
        <v>63</v>
      </c>
      <c r="E118" s="46" t="s">
        <v>61</v>
      </c>
      <c r="F118" s="46">
        <v>117.03</v>
      </c>
      <c r="G118" s="48">
        <v>12.47</v>
      </c>
      <c r="H118" s="49">
        <v>1.2223</v>
      </c>
      <c r="I118" s="48">
        <f t="shared" si="36"/>
        <v>15.242081</v>
      </c>
      <c r="J118" s="50">
        <f t="shared" si="39"/>
        <v>15.24</v>
      </c>
      <c r="K118" s="48">
        <f t="shared" si="38"/>
        <v>1783.5372</v>
      </c>
      <c r="L118" s="24"/>
      <c r="M118" s="24"/>
    </row>
    <row r="119" spans="1:13" ht="24.75">
      <c r="A119" s="51" t="s">
        <v>209</v>
      </c>
      <c r="B119" s="51" t="s">
        <v>41</v>
      </c>
      <c r="C119" s="51">
        <v>96557</v>
      </c>
      <c r="D119" s="52" t="s">
        <v>210</v>
      </c>
      <c r="E119" s="51" t="s">
        <v>70</v>
      </c>
      <c r="F119" s="51">
        <v>2.84</v>
      </c>
      <c r="G119" s="53">
        <v>594.27</v>
      </c>
      <c r="H119" s="54">
        <v>1.2223</v>
      </c>
      <c r="I119" s="53">
        <f t="shared" si="36"/>
        <v>726.376221</v>
      </c>
      <c r="J119" s="55">
        <f t="shared" si="39"/>
        <v>726.38</v>
      </c>
      <c r="K119" s="53">
        <f t="shared" si="38"/>
        <v>2062.9192</v>
      </c>
      <c r="L119" s="24"/>
      <c r="M119" s="24"/>
    </row>
    <row r="120" spans="1:13" ht="20.25">
      <c r="A120" s="56" t="s">
        <v>211</v>
      </c>
      <c r="B120" s="57" t="s">
        <v>212</v>
      </c>
      <c r="C120" s="57"/>
      <c r="D120" s="57"/>
      <c r="E120" s="57"/>
      <c r="F120" s="57"/>
      <c r="G120" s="57"/>
      <c r="H120" s="57"/>
      <c r="I120" s="57"/>
      <c r="J120" s="57"/>
      <c r="K120" s="58">
        <f>SUM(K121:K130)</f>
        <v>54642.2126</v>
      </c>
      <c r="L120" s="24"/>
      <c r="M120" s="24"/>
    </row>
    <row r="121" spans="1:13" ht="24">
      <c r="A121" s="59" t="s">
        <v>213</v>
      </c>
      <c r="B121" s="59" t="s">
        <v>41</v>
      </c>
      <c r="C121" s="59">
        <v>92415</v>
      </c>
      <c r="D121" s="60" t="s">
        <v>214</v>
      </c>
      <c r="E121" s="59" t="s">
        <v>23</v>
      </c>
      <c r="F121" s="59">
        <v>36</v>
      </c>
      <c r="G121" s="61">
        <v>139.66</v>
      </c>
      <c r="H121" s="62">
        <v>1.2223</v>
      </c>
      <c r="I121" s="61">
        <f aca="true" t="shared" si="40" ref="I121:I130">H121*G121</f>
        <v>170.70641799999999</v>
      </c>
      <c r="J121" s="63">
        <f aca="true" t="shared" si="41" ref="J121:J130">ROUND(I121,2)</f>
        <v>170.71</v>
      </c>
      <c r="K121" s="61">
        <f aca="true" t="shared" si="42" ref="K121:K130">J121*F121</f>
        <v>6145.56</v>
      </c>
      <c r="L121" s="24"/>
      <c r="M121" s="24"/>
    </row>
    <row r="122" spans="1:13" ht="24">
      <c r="A122" s="46" t="s">
        <v>215</v>
      </c>
      <c r="B122" s="46" t="s">
        <v>41</v>
      </c>
      <c r="C122" s="46">
        <v>92451</v>
      </c>
      <c r="D122" s="47" t="s">
        <v>65</v>
      </c>
      <c r="E122" s="46" t="s">
        <v>23</v>
      </c>
      <c r="F122" s="46">
        <v>28.45</v>
      </c>
      <c r="G122" s="48">
        <v>186.5</v>
      </c>
      <c r="H122" s="49">
        <v>1.2223</v>
      </c>
      <c r="I122" s="48">
        <f t="shared" si="40"/>
        <v>227.95895</v>
      </c>
      <c r="J122" s="50">
        <f t="shared" si="41"/>
        <v>227.96</v>
      </c>
      <c r="K122" s="48">
        <f t="shared" si="42"/>
        <v>6485.462</v>
      </c>
      <c r="L122" s="24"/>
      <c r="M122" s="24"/>
    </row>
    <row r="123" spans="1:13" ht="20.25">
      <c r="A123" s="33" t="s">
        <v>216</v>
      </c>
      <c r="B123" s="33" t="s">
        <v>41</v>
      </c>
      <c r="C123" s="68">
        <v>92882</v>
      </c>
      <c r="D123" s="69" t="s">
        <v>207</v>
      </c>
      <c r="E123" s="33" t="s">
        <v>61</v>
      </c>
      <c r="F123" s="33">
        <v>98.78</v>
      </c>
      <c r="G123" s="35">
        <v>13.82</v>
      </c>
      <c r="H123" s="36">
        <v>1.2223</v>
      </c>
      <c r="I123" s="35">
        <f t="shared" si="40"/>
        <v>16.892186</v>
      </c>
      <c r="J123" s="37">
        <f t="shared" si="41"/>
        <v>16.89</v>
      </c>
      <c r="K123" s="35">
        <f t="shared" si="42"/>
        <v>1668.3942000000002</v>
      </c>
      <c r="L123" s="24"/>
      <c r="M123" s="24"/>
    </row>
    <row r="124" spans="1:13" ht="20.25">
      <c r="A124" s="46" t="s">
        <v>217</v>
      </c>
      <c r="B124" s="46" t="s">
        <v>41</v>
      </c>
      <c r="C124" s="46">
        <v>92884</v>
      </c>
      <c r="D124" s="47" t="s">
        <v>63</v>
      </c>
      <c r="E124" s="46" t="s">
        <v>61</v>
      </c>
      <c r="F124" s="46">
        <v>177.69</v>
      </c>
      <c r="G124" s="48">
        <v>12.47</v>
      </c>
      <c r="H124" s="49">
        <v>1.2223</v>
      </c>
      <c r="I124" s="48">
        <f t="shared" si="40"/>
        <v>15.242081</v>
      </c>
      <c r="J124" s="50">
        <f t="shared" si="41"/>
        <v>15.24</v>
      </c>
      <c r="K124" s="48">
        <f t="shared" si="42"/>
        <v>2707.9956</v>
      </c>
      <c r="L124" s="24"/>
      <c r="M124" s="24"/>
    </row>
    <row r="125" spans="1:13" ht="20.25">
      <c r="A125" s="33" t="s">
        <v>218</v>
      </c>
      <c r="B125" s="33" t="s">
        <v>41</v>
      </c>
      <c r="C125" s="33">
        <v>103671</v>
      </c>
      <c r="D125" s="34" t="s">
        <v>219</v>
      </c>
      <c r="E125" s="33" t="s">
        <v>70</v>
      </c>
      <c r="F125" s="33">
        <v>2.7</v>
      </c>
      <c r="G125" s="35">
        <v>618.68</v>
      </c>
      <c r="H125" s="36">
        <v>1.2223</v>
      </c>
      <c r="I125" s="35">
        <f t="shared" si="40"/>
        <v>756.2125639999999</v>
      </c>
      <c r="J125" s="37">
        <f t="shared" si="41"/>
        <v>756.21</v>
      </c>
      <c r="K125" s="35">
        <f t="shared" si="42"/>
        <v>2041.7670000000003</v>
      </c>
      <c r="L125" s="24"/>
      <c r="M125" s="24"/>
    </row>
    <row r="126" spans="1:13" ht="24">
      <c r="A126" s="46" t="s">
        <v>220</v>
      </c>
      <c r="B126" s="46" t="s">
        <v>41</v>
      </c>
      <c r="C126" s="46">
        <v>103674</v>
      </c>
      <c r="D126" s="47" t="s">
        <v>221</v>
      </c>
      <c r="E126" s="46" t="s">
        <v>70</v>
      </c>
      <c r="F126" s="46">
        <v>4.26</v>
      </c>
      <c r="G126" s="48">
        <v>602.49</v>
      </c>
      <c r="H126" s="49">
        <v>1.2223</v>
      </c>
      <c r="I126" s="48">
        <f t="shared" si="40"/>
        <v>736.4235269999999</v>
      </c>
      <c r="J126" s="50">
        <f t="shared" si="41"/>
        <v>736.42</v>
      </c>
      <c r="K126" s="48">
        <f t="shared" si="42"/>
        <v>3137.1492</v>
      </c>
      <c r="L126" s="24"/>
      <c r="M126" s="24"/>
    </row>
    <row r="127" spans="1:13" ht="24">
      <c r="A127" s="33" t="s">
        <v>222</v>
      </c>
      <c r="B127" s="33" t="s">
        <v>41</v>
      </c>
      <c r="C127" s="33">
        <v>103322</v>
      </c>
      <c r="D127" s="34" t="s">
        <v>223</v>
      </c>
      <c r="E127" s="33" t="s">
        <v>23</v>
      </c>
      <c r="F127" s="33">
        <v>124.26</v>
      </c>
      <c r="G127" s="35">
        <v>55.89</v>
      </c>
      <c r="H127" s="36">
        <v>1.2223</v>
      </c>
      <c r="I127" s="35">
        <f t="shared" si="40"/>
        <v>68.314347</v>
      </c>
      <c r="J127" s="37">
        <f t="shared" si="41"/>
        <v>68.31</v>
      </c>
      <c r="K127" s="35">
        <f t="shared" si="42"/>
        <v>8488.2006</v>
      </c>
      <c r="L127" s="24"/>
      <c r="M127" s="24"/>
    </row>
    <row r="128" spans="1:13" ht="20.25">
      <c r="A128" s="46" t="s">
        <v>224</v>
      </c>
      <c r="B128" s="65" t="s">
        <v>80</v>
      </c>
      <c r="C128" s="65" t="s">
        <v>81</v>
      </c>
      <c r="D128" s="47" t="s">
        <v>82</v>
      </c>
      <c r="E128" s="46" t="s">
        <v>23</v>
      </c>
      <c r="F128" s="46">
        <v>341.42</v>
      </c>
      <c r="G128" s="48">
        <v>6.96</v>
      </c>
      <c r="H128" s="49">
        <v>1.2223</v>
      </c>
      <c r="I128" s="48">
        <f t="shared" si="40"/>
        <v>8.507208</v>
      </c>
      <c r="J128" s="50">
        <f t="shared" si="41"/>
        <v>8.51</v>
      </c>
      <c r="K128" s="48">
        <f t="shared" si="42"/>
        <v>2905.4842</v>
      </c>
      <c r="L128" s="24"/>
      <c r="M128" s="24"/>
    </row>
    <row r="129" spans="1:13" ht="31.5">
      <c r="A129" s="33" t="s">
        <v>225</v>
      </c>
      <c r="B129" s="33" t="s">
        <v>41</v>
      </c>
      <c r="C129" s="33">
        <v>87529</v>
      </c>
      <c r="D129" s="34" t="s">
        <v>84</v>
      </c>
      <c r="E129" s="33" t="s">
        <v>23</v>
      </c>
      <c r="F129" s="33">
        <v>341.42</v>
      </c>
      <c r="G129" s="35">
        <v>37.05</v>
      </c>
      <c r="H129" s="36">
        <v>1.2223</v>
      </c>
      <c r="I129" s="35">
        <f t="shared" si="40"/>
        <v>45.28621499999999</v>
      </c>
      <c r="J129" s="37">
        <f t="shared" si="41"/>
        <v>45.29</v>
      </c>
      <c r="K129" s="35">
        <f t="shared" si="42"/>
        <v>15462.9118</v>
      </c>
      <c r="L129" s="24"/>
      <c r="M129" s="24"/>
    </row>
    <row r="130" spans="1:13" ht="20.25">
      <c r="A130" s="38" t="s">
        <v>226</v>
      </c>
      <c r="B130" s="38" t="s">
        <v>41</v>
      </c>
      <c r="C130" s="38">
        <v>88489</v>
      </c>
      <c r="D130" s="39" t="s">
        <v>86</v>
      </c>
      <c r="E130" s="38" t="s">
        <v>23</v>
      </c>
      <c r="F130" s="38">
        <v>341.42</v>
      </c>
      <c r="G130" s="40">
        <v>13.42</v>
      </c>
      <c r="H130" s="41">
        <v>1.2223</v>
      </c>
      <c r="I130" s="40">
        <f t="shared" si="40"/>
        <v>16.403266</v>
      </c>
      <c r="J130" s="42">
        <f t="shared" si="41"/>
        <v>16.4</v>
      </c>
      <c r="K130" s="40">
        <f t="shared" si="42"/>
        <v>5599.288</v>
      </c>
      <c r="L130" s="24"/>
      <c r="M130" s="24"/>
    </row>
    <row r="131" spans="1:13" ht="2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4"/>
      <c r="M131" s="24"/>
    </row>
    <row r="132" spans="1:13" ht="20.25">
      <c r="A132" s="16">
        <v>10</v>
      </c>
      <c r="B132" s="17" t="s">
        <v>227</v>
      </c>
      <c r="C132" s="17"/>
      <c r="D132" s="17"/>
      <c r="E132" s="17"/>
      <c r="F132" s="17"/>
      <c r="G132" s="17"/>
      <c r="H132" s="17"/>
      <c r="I132" s="17"/>
      <c r="J132" s="17"/>
      <c r="K132" s="27">
        <f>SUM(K133:K138)</f>
        <v>38351.5355</v>
      </c>
      <c r="L132" s="24"/>
      <c r="M132" s="24"/>
    </row>
    <row r="133" spans="1:13" ht="20.25">
      <c r="A133" s="28" t="s">
        <v>228</v>
      </c>
      <c r="B133" s="28" t="s">
        <v>41</v>
      </c>
      <c r="C133" s="28">
        <v>98524</v>
      </c>
      <c r="D133" s="29" t="s">
        <v>229</v>
      </c>
      <c r="E133" s="28" t="s">
        <v>230</v>
      </c>
      <c r="F133" s="28">
        <v>194.71</v>
      </c>
      <c r="G133" s="30">
        <v>3.9</v>
      </c>
      <c r="H133" s="31">
        <v>1.2223</v>
      </c>
      <c r="I133" s="30">
        <f aca="true" t="shared" si="43" ref="I133:I138">H133*G133</f>
        <v>4.76697</v>
      </c>
      <c r="J133" s="32">
        <f aca="true" t="shared" si="44" ref="J133:J138">ROUND(I133,2)</f>
        <v>4.77</v>
      </c>
      <c r="K133" s="30">
        <f aca="true" t="shared" si="45" ref="K133:K138">J133*F133</f>
        <v>928.7666999999999</v>
      </c>
      <c r="L133" s="24"/>
      <c r="M133" s="24"/>
    </row>
    <row r="134" spans="1:13" ht="20.25">
      <c r="A134" s="33" t="s">
        <v>231</v>
      </c>
      <c r="B134" s="33" t="s">
        <v>26</v>
      </c>
      <c r="C134" s="33" t="s">
        <v>232</v>
      </c>
      <c r="D134" s="34" t="s">
        <v>233</v>
      </c>
      <c r="E134" s="33" t="s">
        <v>23</v>
      </c>
      <c r="F134" s="33">
        <v>194.71</v>
      </c>
      <c r="G134" s="35">
        <f>20.27/1.195</f>
        <v>16.96234309623431</v>
      </c>
      <c r="H134" s="36">
        <v>1.2223</v>
      </c>
      <c r="I134" s="35">
        <f t="shared" si="43"/>
        <v>20.733071966527195</v>
      </c>
      <c r="J134" s="37">
        <f t="shared" si="44"/>
        <v>20.73</v>
      </c>
      <c r="K134" s="35">
        <f t="shared" si="45"/>
        <v>4036.3383000000003</v>
      </c>
      <c r="L134" s="24"/>
      <c r="M134" s="24"/>
    </row>
    <row r="135" spans="1:13" ht="20.25">
      <c r="A135" s="46" t="s">
        <v>234</v>
      </c>
      <c r="B135" s="46" t="s">
        <v>41</v>
      </c>
      <c r="C135" s="46">
        <v>101749</v>
      </c>
      <c r="D135" s="47" t="s">
        <v>235</v>
      </c>
      <c r="E135" s="46" t="s">
        <v>23</v>
      </c>
      <c r="F135" s="46">
        <v>194.71</v>
      </c>
      <c r="G135" s="48">
        <v>50.34</v>
      </c>
      <c r="H135" s="49">
        <v>1.2223</v>
      </c>
      <c r="I135" s="48">
        <f t="shared" si="43"/>
        <v>61.530582</v>
      </c>
      <c r="J135" s="50">
        <f t="shared" si="44"/>
        <v>61.53</v>
      </c>
      <c r="K135" s="48">
        <f t="shared" si="45"/>
        <v>11980.506300000001</v>
      </c>
      <c r="L135" s="24"/>
      <c r="M135" s="24"/>
    </row>
    <row r="136" spans="1:13" ht="20.25">
      <c r="A136" s="33" t="s">
        <v>236</v>
      </c>
      <c r="B136" s="33" t="s">
        <v>41</v>
      </c>
      <c r="C136" s="33">
        <v>102491</v>
      </c>
      <c r="D136" s="34" t="s">
        <v>237</v>
      </c>
      <c r="E136" s="33" t="s">
        <v>23</v>
      </c>
      <c r="F136" s="33">
        <v>194.71</v>
      </c>
      <c r="G136" s="35">
        <v>22.55</v>
      </c>
      <c r="H136" s="36">
        <v>1.2223</v>
      </c>
      <c r="I136" s="35">
        <f t="shared" si="43"/>
        <v>27.562865</v>
      </c>
      <c r="J136" s="37">
        <f t="shared" si="44"/>
        <v>27.56</v>
      </c>
      <c r="K136" s="35">
        <f t="shared" si="45"/>
        <v>5366.2076</v>
      </c>
      <c r="L136" s="24"/>
      <c r="M136" s="24"/>
    </row>
    <row r="137" spans="1:13" ht="20.25">
      <c r="A137" s="46" t="s">
        <v>238</v>
      </c>
      <c r="B137" s="46" t="s">
        <v>26</v>
      </c>
      <c r="C137" s="46" t="s">
        <v>30</v>
      </c>
      <c r="D137" s="47" t="s">
        <v>31</v>
      </c>
      <c r="E137" s="46" t="s">
        <v>32</v>
      </c>
      <c r="F137" s="46">
        <v>19.47</v>
      </c>
      <c r="G137" s="48">
        <f>101.46/1.195</f>
        <v>84.90376569037656</v>
      </c>
      <c r="H137" s="49">
        <v>1.2223</v>
      </c>
      <c r="I137" s="48">
        <f t="shared" si="43"/>
        <v>103.77787280334726</v>
      </c>
      <c r="J137" s="50">
        <f t="shared" si="44"/>
        <v>103.78</v>
      </c>
      <c r="K137" s="48">
        <f t="shared" si="45"/>
        <v>2020.5965999999999</v>
      </c>
      <c r="L137" s="24"/>
      <c r="M137" s="24"/>
    </row>
    <row r="138" spans="1:13" ht="20.25">
      <c r="A138" s="51" t="s">
        <v>239</v>
      </c>
      <c r="B138" s="51" t="s">
        <v>26</v>
      </c>
      <c r="C138" s="51" t="s">
        <v>34</v>
      </c>
      <c r="D138" s="52" t="s">
        <v>35</v>
      </c>
      <c r="E138" s="51" t="s">
        <v>36</v>
      </c>
      <c r="F138" s="51">
        <v>5841.3</v>
      </c>
      <c r="G138" s="53">
        <f>2.35/1.195</f>
        <v>1.9665271966527196</v>
      </c>
      <c r="H138" s="54">
        <v>1.2223</v>
      </c>
      <c r="I138" s="53">
        <f t="shared" si="43"/>
        <v>2.403686192468619</v>
      </c>
      <c r="J138" s="55">
        <f t="shared" si="44"/>
        <v>2.4</v>
      </c>
      <c r="K138" s="53">
        <f t="shared" si="45"/>
        <v>14019.12</v>
      </c>
      <c r="L138" s="24"/>
      <c r="M138" s="24"/>
    </row>
    <row r="139" spans="1:13" ht="2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4"/>
      <c r="M139" s="24"/>
    </row>
    <row r="140" spans="1:13" ht="20.25">
      <c r="A140" s="16">
        <v>11</v>
      </c>
      <c r="B140" s="17" t="s">
        <v>240</v>
      </c>
      <c r="C140" s="17"/>
      <c r="D140" s="17"/>
      <c r="E140" s="17"/>
      <c r="F140" s="17"/>
      <c r="G140" s="17"/>
      <c r="H140" s="17"/>
      <c r="I140" s="17"/>
      <c r="J140" s="17"/>
      <c r="K140" s="27">
        <f>K141</f>
        <v>46366.4362</v>
      </c>
      <c r="L140" s="24"/>
      <c r="M140" s="24"/>
    </row>
    <row r="141" spans="1:13" ht="20.25">
      <c r="A141" s="19" t="s">
        <v>241</v>
      </c>
      <c r="B141" s="19" t="s">
        <v>41</v>
      </c>
      <c r="C141" s="19">
        <v>102491</v>
      </c>
      <c r="D141" s="20" t="s">
        <v>237</v>
      </c>
      <c r="E141" s="19" t="s">
        <v>23</v>
      </c>
      <c r="F141" s="19">
        <v>1603.82</v>
      </c>
      <c r="G141" s="21">
        <v>23.65</v>
      </c>
      <c r="H141" s="22">
        <v>1.2223</v>
      </c>
      <c r="I141" s="21">
        <f>H141*G141</f>
        <v>28.907394999999998</v>
      </c>
      <c r="J141" s="23">
        <f>ROUND(I141,2)</f>
        <v>28.91</v>
      </c>
      <c r="K141" s="21">
        <f>J141*F141</f>
        <v>46366.4362</v>
      </c>
      <c r="L141" s="24"/>
      <c r="M141" s="24"/>
    </row>
    <row r="142" spans="1:13" ht="2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4"/>
      <c r="M142" s="24"/>
    </row>
    <row r="143" spans="1:13" ht="20.25">
      <c r="A143" s="16">
        <v>12</v>
      </c>
      <c r="B143" s="17" t="s">
        <v>242</v>
      </c>
      <c r="C143" s="17"/>
      <c r="D143" s="17"/>
      <c r="E143" s="17"/>
      <c r="F143" s="17"/>
      <c r="G143" s="17"/>
      <c r="H143" s="17"/>
      <c r="I143" s="17"/>
      <c r="J143" s="17"/>
      <c r="K143" s="27">
        <f>SUM(K144:K147)</f>
        <v>4051.5024</v>
      </c>
      <c r="L143" s="24"/>
      <c r="M143" s="24"/>
    </row>
    <row r="144" spans="1:13" ht="20.25">
      <c r="A144" s="28" t="s">
        <v>243</v>
      </c>
      <c r="B144" s="28" t="s">
        <v>26</v>
      </c>
      <c r="C144" s="28" t="s">
        <v>30</v>
      </c>
      <c r="D144" s="29" t="s">
        <v>31</v>
      </c>
      <c r="E144" s="28" t="s">
        <v>32</v>
      </c>
      <c r="F144" s="28">
        <v>5.28</v>
      </c>
      <c r="G144" s="30">
        <f>101.46/1.195</f>
        <v>84.90376569037656</v>
      </c>
      <c r="H144" s="31">
        <v>1.2223</v>
      </c>
      <c r="I144" s="30">
        <f aca="true" t="shared" si="46" ref="I144:I147">H144*G144</f>
        <v>103.77787280334726</v>
      </c>
      <c r="J144" s="32">
        <f aca="true" t="shared" si="47" ref="J144:J147">ROUND(I144,2)</f>
        <v>103.78</v>
      </c>
      <c r="K144" s="30">
        <f aca="true" t="shared" si="48" ref="K144:K147">J144*F144</f>
        <v>547.9584</v>
      </c>
      <c r="L144" s="24"/>
      <c r="M144" s="24"/>
    </row>
    <row r="145" spans="1:13" ht="20.25">
      <c r="A145" s="33" t="s">
        <v>244</v>
      </c>
      <c r="B145" s="33" t="s">
        <v>26</v>
      </c>
      <c r="C145" s="33" t="s">
        <v>34</v>
      </c>
      <c r="D145" s="34" t="s">
        <v>35</v>
      </c>
      <c r="E145" s="33" t="s">
        <v>36</v>
      </c>
      <c r="F145" s="33">
        <v>158.4</v>
      </c>
      <c r="G145" s="35">
        <f>2.35/1.195</f>
        <v>1.9665271966527196</v>
      </c>
      <c r="H145" s="36">
        <v>1.2223</v>
      </c>
      <c r="I145" s="35">
        <f t="shared" si="46"/>
        <v>2.403686192468619</v>
      </c>
      <c r="J145" s="37">
        <f t="shared" si="47"/>
        <v>2.4</v>
      </c>
      <c r="K145" s="35">
        <f t="shared" si="48"/>
        <v>380.16</v>
      </c>
      <c r="L145" s="24"/>
      <c r="M145" s="24"/>
    </row>
    <row r="146" spans="1:13" ht="20.25">
      <c r="A146" s="46" t="s">
        <v>245</v>
      </c>
      <c r="B146" s="46" t="s">
        <v>26</v>
      </c>
      <c r="C146" s="46" t="s">
        <v>246</v>
      </c>
      <c r="D146" s="47" t="s">
        <v>247</v>
      </c>
      <c r="E146" s="46" t="s">
        <v>23</v>
      </c>
      <c r="F146" s="46">
        <v>26.4</v>
      </c>
      <c r="G146" s="48">
        <f>91.71/1.195</f>
        <v>76.74476987447697</v>
      </c>
      <c r="H146" s="49">
        <v>1.2223</v>
      </c>
      <c r="I146" s="48">
        <f t="shared" si="46"/>
        <v>93.8051322175732</v>
      </c>
      <c r="J146" s="50">
        <f t="shared" si="47"/>
        <v>93.81</v>
      </c>
      <c r="K146" s="48">
        <f t="shared" si="48"/>
        <v>2476.584</v>
      </c>
      <c r="L146" s="24"/>
      <c r="M146" s="24"/>
    </row>
    <row r="147" spans="1:13" ht="20.25">
      <c r="A147" s="51" t="s">
        <v>248</v>
      </c>
      <c r="B147" s="51" t="s">
        <v>41</v>
      </c>
      <c r="C147" s="51">
        <v>102209</v>
      </c>
      <c r="D147" s="52" t="s">
        <v>249</v>
      </c>
      <c r="E147" s="51" t="s">
        <v>23</v>
      </c>
      <c r="F147" s="51">
        <v>52.8</v>
      </c>
      <c r="G147" s="53">
        <v>10.02</v>
      </c>
      <c r="H147" s="54">
        <v>1.2223</v>
      </c>
      <c r="I147" s="53">
        <f t="shared" si="46"/>
        <v>12.247445999999998</v>
      </c>
      <c r="J147" s="55">
        <f t="shared" si="47"/>
        <v>12.25</v>
      </c>
      <c r="K147" s="53">
        <f t="shared" si="48"/>
        <v>646.8</v>
      </c>
      <c r="L147" s="24"/>
      <c r="M147" s="24"/>
    </row>
    <row r="148" spans="1:13" ht="2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4"/>
      <c r="M148" s="24"/>
    </row>
    <row r="149" spans="1:13" ht="20.25">
      <c r="A149" s="16">
        <v>13</v>
      </c>
      <c r="B149" s="17" t="s">
        <v>250</v>
      </c>
      <c r="C149" s="17"/>
      <c r="D149" s="17"/>
      <c r="E149" s="17"/>
      <c r="F149" s="17"/>
      <c r="G149" s="17"/>
      <c r="H149" s="17"/>
      <c r="I149" s="17"/>
      <c r="J149" s="17"/>
      <c r="K149" s="27">
        <f>SUM(K150:K152)</f>
        <v>312720.527</v>
      </c>
      <c r="L149" s="24"/>
      <c r="M149" s="24"/>
    </row>
    <row r="150" spans="1:13" ht="20.25">
      <c r="A150" s="28" t="s">
        <v>251</v>
      </c>
      <c r="B150" s="28" t="s">
        <v>41</v>
      </c>
      <c r="C150" s="28">
        <v>102488</v>
      </c>
      <c r="D150" s="29" t="s">
        <v>252</v>
      </c>
      <c r="E150" s="28" t="s">
        <v>23</v>
      </c>
      <c r="F150" s="28">
        <v>4928.23</v>
      </c>
      <c r="G150" s="30">
        <v>4.2</v>
      </c>
      <c r="H150" s="31">
        <v>1.2223</v>
      </c>
      <c r="I150" s="30">
        <f aca="true" t="shared" si="49" ref="I150:I152">H150*G150</f>
        <v>5.13366</v>
      </c>
      <c r="J150" s="32">
        <f aca="true" t="shared" si="50" ref="J150:J152">ROUND(I150,2)</f>
        <v>5.13</v>
      </c>
      <c r="K150" s="30">
        <f aca="true" t="shared" si="51" ref="K150:K152">J150*F150</f>
        <v>25281.8199</v>
      </c>
      <c r="L150" s="24"/>
      <c r="M150" s="24"/>
    </row>
    <row r="151" spans="1:13" ht="20.25">
      <c r="A151" s="33" t="s">
        <v>253</v>
      </c>
      <c r="B151" s="33" t="s">
        <v>41</v>
      </c>
      <c r="C151" s="33">
        <v>101749</v>
      </c>
      <c r="D151" s="34" t="s">
        <v>235</v>
      </c>
      <c r="E151" s="33" t="s">
        <v>23</v>
      </c>
      <c r="F151" s="33">
        <v>2464.11</v>
      </c>
      <c r="G151" s="35">
        <v>50.34</v>
      </c>
      <c r="H151" s="36">
        <v>1.2223</v>
      </c>
      <c r="I151" s="35">
        <f t="shared" si="49"/>
        <v>61.530582</v>
      </c>
      <c r="J151" s="37">
        <f t="shared" si="50"/>
        <v>61.53</v>
      </c>
      <c r="K151" s="35">
        <f t="shared" si="51"/>
        <v>151616.6883</v>
      </c>
      <c r="L151" s="24"/>
      <c r="M151" s="24"/>
    </row>
    <row r="152" spans="1:13" ht="20.25">
      <c r="A152" s="38" t="s">
        <v>254</v>
      </c>
      <c r="B152" s="38" t="s">
        <v>41</v>
      </c>
      <c r="C152" s="38">
        <v>102491</v>
      </c>
      <c r="D152" s="39" t="s">
        <v>237</v>
      </c>
      <c r="E152" s="38" t="s">
        <v>23</v>
      </c>
      <c r="F152" s="38">
        <v>4928.23</v>
      </c>
      <c r="G152" s="40">
        <v>22.55</v>
      </c>
      <c r="H152" s="41">
        <v>1.2223</v>
      </c>
      <c r="I152" s="40">
        <f t="shared" si="49"/>
        <v>27.562865</v>
      </c>
      <c r="J152" s="42">
        <f t="shared" si="50"/>
        <v>27.56</v>
      </c>
      <c r="K152" s="40">
        <f t="shared" si="51"/>
        <v>135822.0188</v>
      </c>
      <c r="L152" s="24"/>
      <c r="M152" s="24"/>
    </row>
    <row r="153" spans="1:60" s="70" customFormat="1" ht="2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4"/>
      <c r="M153" s="24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</row>
    <row r="154" spans="1:13" ht="20.25">
      <c r="A154" s="16">
        <v>14</v>
      </c>
      <c r="B154" s="17" t="s">
        <v>255</v>
      </c>
      <c r="C154" s="17"/>
      <c r="D154" s="17"/>
      <c r="E154" s="17"/>
      <c r="F154" s="17"/>
      <c r="G154" s="17"/>
      <c r="H154" s="17"/>
      <c r="I154" s="17"/>
      <c r="J154" s="17"/>
      <c r="K154" s="27">
        <f>SUM(K155:K158)</f>
        <v>33557.328</v>
      </c>
      <c r="L154" s="24"/>
      <c r="M154" s="24"/>
    </row>
    <row r="155" spans="1:13" ht="20.25">
      <c r="A155" s="28" t="s">
        <v>256</v>
      </c>
      <c r="B155" s="28" t="s">
        <v>41</v>
      </c>
      <c r="C155" s="28">
        <v>98524</v>
      </c>
      <c r="D155" s="29" t="s">
        <v>229</v>
      </c>
      <c r="E155" s="28" t="s">
        <v>230</v>
      </c>
      <c r="F155" s="28">
        <v>504</v>
      </c>
      <c r="G155" s="30">
        <v>3.9</v>
      </c>
      <c r="H155" s="31">
        <v>1.2223</v>
      </c>
      <c r="I155" s="30">
        <f aca="true" t="shared" si="52" ref="I155:I158">H155*G155</f>
        <v>4.76697</v>
      </c>
      <c r="J155" s="32">
        <f aca="true" t="shared" si="53" ref="J155:J158">ROUND(I155,2)</f>
        <v>4.77</v>
      </c>
      <c r="K155" s="30">
        <f aca="true" t="shared" si="54" ref="K155:K158">J155*F155</f>
        <v>2404.08</v>
      </c>
      <c r="L155" s="24"/>
      <c r="M155" s="24"/>
    </row>
    <row r="156" spans="1:13" ht="20.25">
      <c r="A156" s="33" t="s">
        <v>257</v>
      </c>
      <c r="B156" s="33" t="s">
        <v>26</v>
      </c>
      <c r="C156" s="33" t="s">
        <v>30</v>
      </c>
      <c r="D156" s="34" t="s">
        <v>31</v>
      </c>
      <c r="E156" s="33" t="s">
        <v>32</v>
      </c>
      <c r="F156" s="33">
        <v>100.8</v>
      </c>
      <c r="G156" s="35">
        <f>101.46/1.195</f>
        <v>84.90376569037656</v>
      </c>
      <c r="H156" s="36">
        <v>1.2223</v>
      </c>
      <c r="I156" s="35">
        <f t="shared" si="52"/>
        <v>103.77787280334726</v>
      </c>
      <c r="J156" s="37">
        <f t="shared" si="53"/>
        <v>103.78</v>
      </c>
      <c r="K156" s="35">
        <f t="shared" si="54"/>
        <v>10461.024</v>
      </c>
      <c r="L156" s="24"/>
      <c r="M156" s="24"/>
    </row>
    <row r="157" spans="1:13" ht="20.25">
      <c r="A157" s="46" t="s">
        <v>258</v>
      </c>
      <c r="B157" s="46" t="s">
        <v>26</v>
      </c>
      <c r="C157" s="46" t="s">
        <v>34</v>
      </c>
      <c r="D157" s="47" t="s">
        <v>35</v>
      </c>
      <c r="E157" s="46" t="s">
        <v>36</v>
      </c>
      <c r="F157" s="46">
        <v>3024</v>
      </c>
      <c r="G157" s="48">
        <f>2.35/1.195</f>
        <v>1.9665271966527196</v>
      </c>
      <c r="H157" s="49">
        <v>1.2223</v>
      </c>
      <c r="I157" s="48">
        <f t="shared" si="52"/>
        <v>2.403686192468619</v>
      </c>
      <c r="J157" s="50">
        <f t="shared" si="53"/>
        <v>2.4</v>
      </c>
      <c r="K157" s="48">
        <f t="shared" si="54"/>
        <v>7257.599999999999</v>
      </c>
      <c r="L157" s="24"/>
      <c r="M157" s="24"/>
    </row>
    <row r="158" spans="1:13" ht="20.25">
      <c r="A158" s="51" t="s">
        <v>259</v>
      </c>
      <c r="B158" s="51" t="s">
        <v>41</v>
      </c>
      <c r="C158" s="51">
        <v>102718</v>
      </c>
      <c r="D158" s="52" t="s">
        <v>260</v>
      </c>
      <c r="E158" s="51" t="s">
        <v>23</v>
      </c>
      <c r="F158" s="51">
        <f>SUM(504*0.2)</f>
        <v>100.80000000000001</v>
      </c>
      <c r="G158" s="53">
        <v>109.04</v>
      </c>
      <c r="H158" s="54">
        <v>1.2223</v>
      </c>
      <c r="I158" s="53">
        <f t="shared" si="52"/>
        <v>133.279592</v>
      </c>
      <c r="J158" s="55">
        <f t="shared" si="53"/>
        <v>133.28</v>
      </c>
      <c r="K158" s="53">
        <f t="shared" si="54"/>
        <v>13434.624000000002</v>
      </c>
      <c r="L158" s="24"/>
      <c r="M158" s="24"/>
    </row>
    <row r="159" spans="1:13" ht="2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4"/>
      <c r="M159" s="24"/>
    </row>
    <row r="160" spans="1:13" ht="20.25">
      <c r="A160" s="16">
        <v>15</v>
      </c>
      <c r="B160" s="17" t="s">
        <v>261</v>
      </c>
      <c r="C160" s="17"/>
      <c r="D160" s="17"/>
      <c r="E160" s="17"/>
      <c r="F160" s="17"/>
      <c r="G160" s="17"/>
      <c r="H160" s="17"/>
      <c r="I160" s="17"/>
      <c r="J160" s="17"/>
      <c r="K160" s="27">
        <f>K161</f>
        <v>291622.4</v>
      </c>
      <c r="L160" s="24"/>
      <c r="M160" s="24"/>
    </row>
    <row r="161" spans="1:13" ht="20.25">
      <c r="A161" s="19" t="s">
        <v>262</v>
      </c>
      <c r="B161" s="19" t="s">
        <v>26</v>
      </c>
      <c r="C161" s="19" t="s">
        <v>263</v>
      </c>
      <c r="D161" s="20" t="s">
        <v>264</v>
      </c>
      <c r="E161" s="19" t="s">
        <v>23</v>
      </c>
      <c r="F161" s="19">
        <v>1280</v>
      </c>
      <c r="G161" s="21">
        <f>222.74/1.195</f>
        <v>186.39330543933053</v>
      </c>
      <c r="H161" s="22">
        <v>1.2223</v>
      </c>
      <c r="I161" s="21">
        <f>H161*G161</f>
        <v>227.8285372384937</v>
      </c>
      <c r="J161" s="23">
        <f>ROUND(I161,2)</f>
        <v>227.83</v>
      </c>
      <c r="K161" s="21">
        <f>J161*F161</f>
        <v>291622.4</v>
      </c>
      <c r="L161" s="24"/>
      <c r="M161" s="24"/>
    </row>
    <row r="162" spans="1:13" ht="2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4"/>
      <c r="M162" s="24"/>
    </row>
    <row r="163" spans="1:13" ht="20.25">
      <c r="A163" s="16">
        <v>16</v>
      </c>
      <c r="B163" s="17" t="s">
        <v>265</v>
      </c>
      <c r="C163" s="17"/>
      <c r="D163" s="17"/>
      <c r="E163" s="17"/>
      <c r="F163" s="17"/>
      <c r="G163" s="17"/>
      <c r="H163" s="17"/>
      <c r="I163" s="17"/>
      <c r="J163" s="17"/>
      <c r="K163" s="27">
        <f>SUM(K164:K166)</f>
        <v>8833.86</v>
      </c>
      <c r="L163" s="24"/>
      <c r="M163" s="24"/>
    </row>
    <row r="164" spans="1:13" ht="20.25">
      <c r="A164" s="28" t="s">
        <v>266</v>
      </c>
      <c r="B164" s="28" t="s">
        <v>41</v>
      </c>
      <c r="C164" s="28">
        <v>98531</v>
      </c>
      <c r="D164" s="29" t="s">
        <v>267</v>
      </c>
      <c r="E164" s="28" t="s">
        <v>45</v>
      </c>
      <c r="F164" s="28">
        <v>7</v>
      </c>
      <c r="G164" s="30">
        <v>313.41</v>
      </c>
      <c r="H164" s="31">
        <v>1.2223</v>
      </c>
      <c r="I164" s="30">
        <f aca="true" t="shared" si="55" ref="I164:I166">H164*G164</f>
        <v>383.081043</v>
      </c>
      <c r="J164" s="32">
        <f aca="true" t="shared" si="56" ref="J164:J166">ROUND(I164,2)</f>
        <v>383.08</v>
      </c>
      <c r="K164" s="30">
        <f aca="true" t="shared" si="57" ref="K164:K166">J164*F164</f>
        <v>2681.56</v>
      </c>
      <c r="L164" s="24"/>
      <c r="M164" s="24"/>
    </row>
    <row r="165" spans="1:13" ht="20.25">
      <c r="A165" s="33" t="s">
        <v>268</v>
      </c>
      <c r="B165" s="33" t="s">
        <v>26</v>
      </c>
      <c r="C165" s="33" t="s">
        <v>30</v>
      </c>
      <c r="D165" s="34" t="s">
        <v>31</v>
      </c>
      <c r="E165" s="33" t="s">
        <v>32</v>
      </c>
      <c r="F165" s="33">
        <v>35</v>
      </c>
      <c r="G165" s="35">
        <f>101.46/1.195</f>
        <v>84.90376569037656</v>
      </c>
      <c r="H165" s="36">
        <v>1.2223</v>
      </c>
      <c r="I165" s="35">
        <f t="shared" si="55"/>
        <v>103.77787280334726</v>
      </c>
      <c r="J165" s="37">
        <f t="shared" si="56"/>
        <v>103.78</v>
      </c>
      <c r="K165" s="35">
        <f t="shared" si="57"/>
        <v>3632.3</v>
      </c>
      <c r="L165" s="24"/>
      <c r="M165" s="24"/>
    </row>
    <row r="166" spans="1:13" ht="20.25">
      <c r="A166" s="38" t="s">
        <v>269</v>
      </c>
      <c r="B166" s="38" t="s">
        <v>26</v>
      </c>
      <c r="C166" s="38" t="s">
        <v>34</v>
      </c>
      <c r="D166" s="39" t="s">
        <v>35</v>
      </c>
      <c r="E166" s="38" t="s">
        <v>36</v>
      </c>
      <c r="F166" s="38">
        <v>1050</v>
      </c>
      <c r="G166" s="40">
        <f>2.35/1.195</f>
        <v>1.9665271966527196</v>
      </c>
      <c r="H166" s="41">
        <v>1.2223</v>
      </c>
      <c r="I166" s="40">
        <f t="shared" si="55"/>
        <v>2.403686192468619</v>
      </c>
      <c r="J166" s="42">
        <f t="shared" si="56"/>
        <v>2.4</v>
      </c>
      <c r="K166" s="40">
        <f t="shared" si="57"/>
        <v>2520</v>
      </c>
      <c r="L166" s="24"/>
      <c r="M166" s="24"/>
    </row>
    <row r="167" spans="1:13" ht="2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4"/>
      <c r="M167" s="24"/>
    </row>
    <row r="168" spans="1:13" ht="20.25">
      <c r="A168" s="16">
        <v>17</v>
      </c>
      <c r="B168" s="17" t="s">
        <v>270</v>
      </c>
      <c r="C168" s="17"/>
      <c r="D168" s="17"/>
      <c r="E168" s="17"/>
      <c r="F168" s="17"/>
      <c r="G168" s="17"/>
      <c r="H168" s="17"/>
      <c r="I168" s="17"/>
      <c r="J168" s="17"/>
      <c r="K168" s="27">
        <f>SUM(K169:K182)</f>
        <v>95238.1268</v>
      </c>
      <c r="L168" s="24"/>
      <c r="M168" s="24"/>
    </row>
    <row r="169" spans="1:13" ht="20.25">
      <c r="A169" s="28" t="s">
        <v>271</v>
      </c>
      <c r="B169" s="28" t="s">
        <v>41</v>
      </c>
      <c r="C169" s="28">
        <v>98524</v>
      </c>
      <c r="D169" s="29" t="s">
        <v>229</v>
      </c>
      <c r="E169" s="28" t="s">
        <v>230</v>
      </c>
      <c r="F169" s="28">
        <v>51.2</v>
      </c>
      <c r="G169" s="30">
        <v>3.9</v>
      </c>
      <c r="H169" s="31">
        <v>1.2223</v>
      </c>
      <c r="I169" s="30">
        <f aca="true" t="shared" si="58" ref="I169:I182">H169*G169</f>
        <v>4.76697</v>
      </c>
      <c r="J169" s="32">
        <f aca="true" t="shared" si="59" ref="J169:J182">ROUND(I169,2)</f>
        <v>4.77</v>
      </c>
      <c r="K169" s="30">
        <f aca="true" t="shared" si="60" ref="K169:K182">J169*F169</f>
        <v>244.224</v>
      </c>
      <c r="L169" s="24"/>
      <c r="M169" s="24"/>
    </row>
    <row r="170" spans="1:13" ht="20.25">
      <c r="A170" s="33" t="s">
        <v>272</v>
      </c>
      <c r="B170" s="33" t="s">
        <v>41</v>
      </c>
      <c r="C170" s="33">
        <v>102488</v>
      </c>
      <c r="D170" s="34" t="s">
        <v>252</v>
      </c>
      <c r="E170" s="33" t="s">
        <v>23</v>
      </c>
      <c r="F170" s="33">
        <v>251.13</v>
      </c>
      <c r="G170" s="35">
        <v>4.2</v>
      </c>
      <c r="H170" s="36">
        <v>1.2223</v>
      </c>
      <c r="I170" s="35">
        <f t="shared" si="58"/>
        <v>5.13366</v>
      </c>
      <c r="J170" s="37">
        <f t="shared" si="59"/>
        <v>5.13</v>
      </c>
      <c r="K170" s="35">
        <f t="shared" si="60"/>
        <v>1288.2969</v>
      </c>
      <c r="L170" s="24"/>
      <c r="M170" s="24"/>
    </row>
    <row r="171" spans="1:13" ht="20.25">
      <c r="A171" s="46" t="s">
        <v>273</v>
      </c>
      <c r="B171" s="46" t="s">
        <v>26</v>
      </c>
      <c r="C171" s="46" t="s">
        <v>232</v>
      </c>
      <c r="D171" s="47" t="s">
        <v>233</v>
      </c>
      <c r="E171" s="46" t="s">
        <v>23</v>
      </c>
      <c r="F171" s="46">
        <v>51.2</v>
      </c>
      <c r="G171" s="48">
        <f>20.27/1.195</f>
        <v>16.96234309623431</v>
      </c>
      <c r="H171" s="49">
        <v>1.2223</v>
      </c>
      <c r="I171" s="48">
        <f t="shared" si="58"/>
        <v>20.733071966527195</v>
      </c>
      <c r="J171" s="50">
        <f t="shared" si="59"/>
        <v>20.73</v>
      </c>
      <c r="K171" s="48">
        <f t="shared" si="60"/>
        <v>1061.376</v>
      </c>
      <c r="L171" s="24"/>
      <c r="M171" s="24"/>
    </row>
    <row r="172" spans="1:13" ht="20.25">
      <c r="A172" s="33" t="s">
        <v>274</v>
      </c>
      <c r="B172" s="33" t="s">
        <v>41</v>
      </c>
      <c r="C172" s="33">
        <v>101749</v>
      </c>
      <c r="D172" s="34" t="s">
        <v>235</v>
      </c>
      <c r="E172" s="33" t="s">
        <v>23</v>
      </c>
      <c r="F172" s="33">
        <v>51.2</v>
      </c>
      <c r="G172" s="35">
        <v>50.34</v>
      </c>
      <c r="H172" s="36">
        <v>1.2223</v>
      </c>
      <c r="I172" s="35">
        <f t="shared" si="58"/>
        <v>61.530582</v>
      </c>
      <c r="J172" s="37">
        <f t="shared" si="59"/>
        <v>61.53</v>
      </c>
      <c r="K172" s="35">
        <f t="shared" si="60"/>
        <v>3150.3360000000002</v>
      </c>
      <c r="L172" s="24"/>
      <c r="M172" s="24"/>
    </row>
    <row r="173" spans="1:13" ht="20.25">
      <c r="A173" s="46" t="s">
        <v>275</v>
      </c>
      <c r="B173" s="46" t="s">
        <v>41</v>
      </c>
      <c r="C173" s="46">
        <v>102491</v>
      </c>
      <c r="D173" s="47" t="s">
        <v>237</v>
      </c>
      <c r="E173" s="46" t="s">
        <v>23</v>
      </c>
      <c r="F173" s="46">
        <v>302.33</v>
      </c>
      <c r="G173" s="48">
        <v>22.55</v>
      </c>
      <c r="H173" s="49">
        <v>1.2223</v>
      </c>
      <c r="I173" s="48">
        <f t="shared" si="58"/>
        <v>27.562865</v>
      </c>
      <c r="J173" s="50">
        <f t="shared" si="59"/>
        <v>27.56</v>
      </c>
      <c r="K173" s="48">
        <f t="shared" si="60"/>
        <v>8332.2148</v>
      </c>
      <c r="L173" s="24"/>
      <c r="M173" s="24"/>
    </row>
    <row r="174" spans="1:13" ht="20.25">
      <c r="A174" s="33" t="s">
        <v>276</v>
      </c>
      <c r="B174" s="33" t="s">
        <v>41</v>
      </c>
      <c r="C174" s="33">
        <v>97625</v>
      </c>
      <c r="D174" s="34" t="s">
        <v>197</v>
      </c>
      <c r="E174" s="33" t="s">
        <v>70</v>
      </c>
      <c r="F174" s="33">
        <v>8.77</v>
      </c>
      <c r="G174" s="35">
        <v>51.1</v>
      </c>
      <c r="H174" s="36">
        <v>1.2223</v>
      </c>
      <c r="I174" s="35">
        <f t="shared" si="58"/>
        <v>62.45953</v>
      </c>
      <c r="J174" s="37">
        <f t="shared" si="59"/>
        <v>62.46</v>
      </c>
      <c r="K174" s="35">
        <f t="shared" si="60"/>
        <v>547.7742</v>
      </c>
      <c r="L174" s="24"/>
      <c r="M174" s="24"/>
    </row>
    <row r="175" spans="1:13" ht="20.25">
      <c r="A175" s="46" t="s">
        <v>277</v>
      </c>
      <c r="B175" s="46" t="s">
        <v>41</v>
      </c>
      <c r="C175" s="46">
        <v>98659</v>
      </c>
      <c r="D175" s="47" t="s">
        <v>278</v>
      </c>
      <c r="E175" s="46" t="s">
        <v>52</v>
      </c>
      <c r="F175" s="46">
        <v>73.15</v>
      </c>
      <c r="G175" s="48">
        <v>668.76</v>
      </c>
      <c r="H175" s="49">
        <v>1.2223</v>
      </c>
      <c r="I175" s="48">
        <f t="shared" si="58"/>
        <v>817.425348</v>
      </c>
      <c r="J175" s="50">
        <f t="shared" si="59"/>
        <v>817.43</v>
      </c>
      <c r="K175" s="48">
        <f t="shared" si="60"/>
        <v>59795.0045</v>
      </c>
      <c r="L175" s="24"/>
      <c r="M175" s="24"/>
    </row>
    <row r="176" spans="1:13" ht="20.25">
      <c r="A176" s="33" t="s">
        <v>279</v>
      </c>
      <c r="B176" s="66" t="s">
        <v>80</v>
      </c>
      <c r="C176" s="66" t="s">
        <v>81</v>
      </c>
      <c r="D176" s="34" t="s">
        <v>82</v>
      </c>
      <c r="E176" s="33" t="s">
        <v>23</v>
      </c>
      <c r="F176" s="33">
        <v>146.3</v>
      </c>
      <c r="G176" s="35">
        <v>6.96</v>
      </c>
      <c r="H176" s="36">
        <v>1.2223</v>
      </c>
      <c r="I176" s="35">
        <f t="shared" si="58"/>
        <v>8.507208</v>
      </c>
      <c r="J176" s="37">
        <f t="shared" si="59"/>
        <v>8.51</v>
      </c>
      <c r="K176" s="35">
        <f t="shared" si="60"/>
        <v>1245.0130000000001</v>
      </c>
      <c r="L176" s="24"/>
      <c r="M176" s="24"/>
    </row>
    <row r="177" spans="1:13" ht="31.5">
      <c r="A177" s="46" t="s">
        <v>280</v>
      </c>
      <c r="B177" s="46" t="s">
        <v>41</v>
      </c>
      <c r="C177" s="46">
        <v>87529</v>
      </c>
      <c r="D177" s="47" t="s">
        <v>84</v>
      </c>
      <c r="E177" s="46" t="s">
        <v>23</v>
      </c>
      <c r="F177" s="46">
        <v>146.3</v>
      </c>
      <c r="G177" s="48">
        <v>37.05</v>
      </c>
      <c r="H177" s="49">
        <v>1.2223</v>
      </c>
      <c r="I177" s="48">
        <f t="shared" si="58"/>
        <v>45.28621499999999</v>
      </c>
      <c r="J177" s="50">
        <f t="shared" si="59"/>
        <v>45.29</v>
      </c>
      <c r="K177" s="48">
        <f t="shared" si="60"/>
        <v>6625.927000000001</v>
      </c>
      <c r="L177" s="24"/>
      <c r="M177" s="24"/>
    </row>
    <row r="178" spans="1:13" ht="20.25">
      <c r="A178" s="33" t="s">
        <v>281</v>
      </c>
      <c r="B178" s="33" t="s">
        <v>41</v>
      </c>
      <c r="C178" s="33">
        <v>88489</v>
      </c>
      <c r="D178" s="34" t="s">
        <v>86</v>
      </c>
      <c r="E178" s="33" t="s">
        <v>23</v>
      </c>
      <c r="F178" s="33">
        <v>109.72</v>
      </c>
      <c r="G178" s="35">
        <v>13.42</v>
      </c>
      <c r="H178" s="36">
        <v>1.2223</v>
      </c>
      <c r="I178" s="35">
        <f t="shared" si="58"/>
        <v>16.403266</v>
      </c>
      <c r="J178" s="37">
        <f t="shared" si="59"/>
        <v>16.4</v>
      </c>
      <c r="K178" s="35">
        <f t="shared" si="60"/>
        <v>1799.408</v>
      </c>
      <c r="L178" s="24"/>
      <c r="M178" s="24"/>
    </row>
    <row r="179" spans="1:13" ht="20.25">
      <c r="A179" s="46" t="s">
        <v>282</v>
      </c>
      <c r="B179" s="46" t="s">
        <v>26</v>
      </c>
      <c r="C179" s="46" t="s">
        <v>283</v>
      </c>
      <c r="D179" s="47" t="s">
        <v>284</v>
      </c>
      <c r="E179" s="46" t="s">
        <v>23</v>
      </c>
      <c r="F179" s="46">
        <v>241.4</v>
      </c>
      <c r="G179" s="48">
        <f>18.02/1.192</f>
        <v>15.11744966442953</v>
      </c>
      <c r="H179" s="49">
        <v>1.2223</v>
      </c>
      <c r="I179" s="48">
        <f t="shared" si="58"/>
        <v>18.478058724832213</v>
      </c>
      <c r="J179" s="50">
        <f t="shared" si="59"/>
        <v>18.48</v>
      </c>
      <c r="K179" s="48">
        <f t="shared" si="60"/>
        <v>4461.072</v>
      </c>
      <c r="L179" s="24"/>
      <c r="M179" s="24"/>
    </row>
    <row r="180" spans="1:13" ht="20.25">
      <c r="A180" s="33" t="s">
        <v>285</v>
      </c>
      <c r="B180" s="33" t="s">
        <v>26</v>
      </c>
      <c r="C180" s="33" t="s">
        <v>286</v>
      </c>
      <c r="D180" s="34" t="s">
        <v>287</v>
      </c>
      <c r="E180" s="33" t="s">
        <v>70</v>
      </c>
      <c r="F180" s="33">
        <v>24.14</v>
      </c>
      <c r="G180" s="71">
        <f>64.39/1.195</f>
        <v>53.88284518828451</v>
      </c>
      <c r="H180" s="36">
        <v>1.2223</v>
      </c>
      <c r="I180" s="35">
        <f t="shared" si="58"/>
        <v>65.86100167364016</v>
      </c>
      <c r="J180" s="37">
        <f t="shared" si="59"/>
        <v>65.86</v>
      </c>
      <c r="K180" s="35">
        <f t="shared" si="60"/>
        <v>1589.8604</v>
      </c>
      <c r="L180" s="24"/>
      <c r="M180" s="24"/>
    </row>
    <row r="181" spans="1:13" ht="20.25">
      <c r="A181" s="46" t="s">
        <v>288</v>
      </c>
      <c r="B181" s="46" t="s">
        <v>26</v>
      </c>
      <c r="C181" s="46" t="s">
        <v>30</v>
      </c>
      <c r="D181" s="47" t="s">
        <v>31</v>
      </c>
      <c r="E181" s="46" t="s">
        <v>32</v>
      </c>
      <c r="F181" s="46">
        <v>29</v>
      </c>
      <c r="G181" s="48">
        <f>101.46/1.195</f>
        <v>84.90376569037656</v>
      </c>
      <c r="H181" s="49">
        <v>1.2223</v>
      </c>
      <c r="I181" s="48">
        <f t="shared" si="58"/>
        <v>103.77787280334726</v>
      </c>
      <c r="J181" s="50">
        <f t="shared" si="59"/>
        <v>103.78</v>
      </c>
      <c r="K181" s="48">
        <f t="shared" si="60"/>
        <v>3009.62</v>
      </c>
      <c r="L181" s="24"/>
      <c r="M181" s="24"/>
    </row>
    <row r="182" spans="1:13" ht="20.25">
      <c r="A182" s="51" t="s">
        <v>289</v>
      </c>
      <c r="B182" s="51" t="s">
        <v>26</v>
      </c>
      <c r="C182" s="51" t="s">
        <v>34</v>
      </c>
      <c r="D182" s="52" t="s">
        <v>35</v>
      </c>
      <c r="E182" s="51" t="s">
        <v>36</v>
      </c>
      <c r="F182" s="51">
        <v>870</v>
      </c>
      <c r="G182" s="53">
        <f>2.35/1.195</f>
        <v>1.9665271966527196</v>
      </c>
      <c r="H182" s="54">
        <v>1.2223</v>
      </c>
      <c r="I182" s="53">
        <f t="shared" si="58"/>
        <v>2.403686192468619</v>
      </c>
      <c r="J182" s="55">
        <f t="shared" si="59"/>
        <v>2.4</v>
      </c>
      <c r="K182" s="53">
        <f t="shared" si="60"/>
        <v>2088</v>
      </c>
      <c r="L182" s="24"/>
      <c r="M182" s="24"/>
    </row>
    <row r="183" spans="1:13" ht="2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4"/>
      <c r="M183" s="24"/>
    </row>
    <row r="184" spans="1:13" ht="20.25">
      <c r="A184" s="16">
        <v>18</v>
      </c>
      <c r="B184" s="17" t="s">
        <v>290</v>
      </c>
      <c r="C184" s="17"/>
      <c r="D184" s="17"/>
      <c r="E184" s="17"/>
      <c r="F184" s="17"/>
      <c r="G184" s="17"/>
      <c r="H184" s="17"/>
      <c r="I184" s="17"/>
      <c r="J184" s="17"/>
      <c r="K184" s="27">
        <f>SUM(K185:K188)</f>
        <v>167629.587</v>
      </c>
      <c r="L184" s="24"/>
      <c r="M184" s="24"/>
    </row>
    <row r="185" spans="1:13" ht="20.25">
      <c r="A185" s="28" t="s">
        <v>291</v>
      </c>
      <c r="B185" s="28" t="s">
        <v>26</v>
      </c>
      <c r="C185" s="28" t="s">
        <v>292</v>
      </c>
      <c r="D185" s="29" t="s">
        <v>293</v>
      </c>
      <c r="E185" s="28" t="s">
        <v>70</v>
      </c>
      <c r="F185" s="28">
        <v>221.7</v>
      </c>
      <c r="G185" s="30">
        <f>202.39/1.195</f>
        <v>169.36401673640165</v>
      </c>
      <c r="H185" s="31">
        <v>1.2223</v>
      </c>
      <c r="I185" s="30">
        <f aca="true" t="shared" si="61" ref="I185:I188">H185*G185</f>
        <v>207.01363765690374</v>
      </c>
      <c r="J185" s="32">
        <f aca="true" t="shared" si="62" ref="J185:J188">ROUND(I185,2)</f>
        <v>207.01</v>
      </c>
      <c r="K185" s="30">
        <f aca="true" t="shared" si="63" ref="K185:K188">J185*F185</f>
        <v>45894.117</v>
      </c>
      <c r="L185" s="24"/>
      <c r="M185" s="24"/>
    </row>
    <row r="186" spans="1:13" ht="20.25">
      <c r="A186" s="33" t="s">
        <v>294</v>
      </c>
      <c r="B186" s="33" t="s">
        <v>26</v>
      </c>
      <c r="C186" s="33" t="s">
        <v>232</v>
      </c>
      <c r="D186" s="34" t="s">
        <v>233</v>
      </c>
      <c r="E186" s="33" t="s">
        <v>23</v>
      </c>
      <c r="F186" s="33">
        <v>1108.5</v>
      </c>
      <c r="G186" s="35">
        <f>20.27/1.195</f>
        <v>16.96234309623431</v>
      </c>
      <c r="H186" s="36">
        <v>1.2223</v>
      </c>
      <c r="I186" s="35">
        <f t="shared" si="61"/>
        <v>20.733071966527195</v>
      </c>
      <c r="J186" s="37">
        <f t="shared" si="62"/>
        <v>20.73</v>
      </c>
      <c r="K186" s="35">
        <f t="shared" si="63"/>
        <v>22979.205</v>
      </c>
      <c r="L186" s="24"/>
      <c r="M186" s="24"/>
    </row>
    <row r="187" spans="1:13" ht="20.25">
      <c r="A187" s="46" t="s">
        <v>295</v>
      </c>
      <c r="B187" s="46" t="s">
        <v>41</v>
      </c>
      <c r="C187" s="46">
        <v>101749</v>
      </c>
      <c r="D187" s="47" t="s">
        <v>235</v>
      </c>
      <c r="E187" s="46" t="s">
        <v>23</v>
      </c>
      <c r="F187" s="46">
        <v>1108.5</v>
      </c>
      <c r="G187" s="48">
        <v>50.34</v>
      </c>
      <c r="H187" s="49">
        <v>1.2223</v>
      </c>
      <c r="I187" s="48">
        <f t="shared" si="61"/>
        <v>61.530582</v>
      </c>
      <c r="J187" s="50">
        <f t="shared" si="62"/>
        <v>61.53</v>
      </c>
      <c r="K187" s="48">
        <f t="shared" si="63"/>
        <v>68206.005</v>
      </c>
      <c r="L187" s="24"/>
      <c r="M187" s="24"/>
    </row>
    <row r="188" spans="1:13" ht="20.25">
      <c r="A188" s="51" t="s">
        <v>296</v>
      </c>
      <c r="B188" s="51" t="s">
        <v>41</v>
      </c>
      <c r="C188" s="51">
        <v>102491</v>
      </c>
      <c r="D188" s="52" t="s">
        <v>237</v>
      </c>
      <c r="E188" s="51" t="s">
        <v>23</v>
      </c>
      <c r="F188" s="51">
        <v>1108.5</v>
      </c>
      <c r="G188" s="53">
        <v>22.55</v>
      </c>
      <c r="H188" s="54">
        <v>1.2223</v>
      </c>
      <c r="I188" s="53">
        <f t="shared" si="61"/>
        <v>27.562865</v>
      </c>
      <c r="J188" s="55">
        <f t="shared" si="62"/>
        <v>27.56</v>
      </c>
      <c r="K188" s="53">
        <f t="shared" si="63"/>
        <v>30550.26</v>
      </c>
      <c r="L188" s="24"/>
      <c r="M188" s="24"/>
    </row>
    <row r="189" spans="1:13" ht="2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4"/>
      <c r="M189" s="24"/>
    </row>
    <row r="190" spans="1:13" ht="20.25">
      <c r="A190" s="16">
        <v>19</v>
      </c>
      <c r="B190" s="17" t="s">
        <v>297</v>
      </c>
      <c r="C190" s="17"/>
      <c r="D190" s="17"/>
      <c r="E190" s="17"/>
      <c r="F190" s="17"/>
      <c r="G190" s="17"/>
      <c r="H190" s="17"/>
      <c r="I190" s="17"/>
      <c r="J190" s="17"/>
      <c r="K190" s="27">
        <f>SUM(K191:K196)</f>
        <v>221410.52634</v>
      </c>
      <c r="L190" s="24"/>
      <c r="M190" s="24"/>
    </row>
    <row r="191" spans="1:13" ht="20.25">
      <c r="A191" s="28" t="s">
        <v>298</v>
      </c>
      <c r="B191" s="28" t="s">
        <v>41</v>
      </c>
      <c r="C191" s="28">
        <v>97633</v>
      </c>
      <c r="D191" s="29" t="s">
        <v>114</v>
      </c>
      <c r="E191" s="28" t="s">
        <v>23</v>
      </c>
      <c r="F191" s="28">
        <v>1437.46</v>
      </c>
      <c r="G191" s="30">
        <v>27.71</v>
      </c>
      <c r="H191" s="31">
        <v>1.2223</v>
      </c>
      <c r="I191" s="30">
        <f aca="true" t="shared" si="64" ref="I191:I196">H191*G191</f>
        <v>33.869932999999996</v>
      </c>
      <c r="J191" s="32">
        <f aca="true" t="shared" si="65" ref="J191:J196">ROUND(I191,2)</f>
        <v>33.87</v>
      </c>
      <c r="K191" s="30">
        <f aca="true" t="shared" si="66" ref="K191:K196">J191*F191</f>
        <v>48686.7702</v>
      </c>
      <c r="L191" s="24"/>
      <c r="M191" s="24"/>
    </row>
    <row r="192" spans="1:13" ht="20.25">
      <c r="A192" s="33" t="s">
        <v>299</v>
      </c>
      <c r="B192" s="33" t="s">
        <v>41</v>
      </c>
      <c r="C192" s="33">
        <v>97631</v>
      </c>
      <c r="D192" s="34" t="s">
        <v>116</v>
      </c>
      <c r="E192" s="33" t="s">
        <v>23</v>
      </c>
      <c r="F192" s="33">
        <v>1437.46</v>
      </c>
      <c r="G192" s="35">
        <v>4.05</v>
      </c>
      <c r="H192" s="36">
        <v>1.2223</v>
      </c>
      <c r="I192" s="35">
        <f t="shared" si="64"/>
        <v>4.950315</v>
      </c>
      <c r="J192" s="37">
        <f t="shared" si="65"/>
        <v>4.95</v>
      </c>
      <c r="K192" s="35">
        <f t="shared" si="66"/>
        <v>7115.427000000001</v>
      </c>
      <c r="L192" s="24"/>
      <c r="M192" s="24"/>
    </row>
    <row r="193" spans="1:13" ht="20.25">
      <c r="A193" s="46" t="s">
        <v>300</v>
      </c>
      <c r="B193" s="46" t="s">
        <v>26</v>
      </c>
      <c r="C193" s="46" t="s">
        <v>30</v>
      </c>
      <c r="D193" s="47" t="s">
        <v>31</v>
      </c>
      <c r="E193" s="46" t="s">
        <v>70</v>
      </c>
      <c r="F193" s="46">
        <f>1437.46*0.05</f>
        <v>71.873</v>
      </c>
      <c r="G193" s="48">
        <f>101.46/1.195</f>
        <v>84.90376569037656</v>
      </c>
      <c r="H193" s="49">
        <v>1.2223</v>
      </c>
      <c r="I193" s="48">
        <f t="shared" si="64"/>
        <v>103.77787280334726</v>
      </c>
      <c r="J193" s="50">
        <f t="shared" si="65"/>
        <v>103.78</v>
      </c>
      <c r="K193" s="48">
        <f t="shared" si="66"/>
        <v>7458.97994</v>
      </c>
      <c r="L193" s="24"/>
      <c r="M193" s="24"/>
    </row>
    <row r="194" spans="1:13" ht="20.25">
      <c r="A194" s="33" t="s">
        <v>301</v>
      </c>
      <c r="B194" s="33" t="s">
        <v>26</v>
      </c>
      <c r="C194" s="33" t="s">
        <v>34</v>
      </c>
      <c r="D194" s="34" t="s">
        <v>35</v>
      </c>
      <c r="E194" s="33" t="s">
        <v>36</v>
      </c>
      <c r="F194" s="33">
        <f>SUM(F193*30)</f>
        <v>2156.19</v>
      </c>
      <c r="G194" s="35">
        <f>2.35/1.195</f>
        <v>1.9665271966527196</v>
      </c>
      <c r="H194" s="36">
        <v>1.2223</v>
      </c>
      <c r="I194" s="35">
        <f t="shared" si="64"/>
        <v>2.403686192468619</v>
      </c>
      <c r="J194" s="37">
        <f t="shared" si="65"/>
        <v>2.4</v>
      </c>
      <c r="K194" s="35">
        <f t="shared" si="66"/>
        <v>5174.856</v>
      </c>
      <c r="L194" s="24"/>
      <c r="M194" s="24"/>
    </row>
    <row r="195" spans="1:13" ht="24.75">
      <c r="A195" s="46" t="s">
        <v>302</v>
      </c>
      <c r="B195" s="46" t="s">
        <v>41</v>
      </c>
      <c r="C195" s="46">
        <v>87251</v>
      </c>
      <c r="D195" s="47" t="s">
        <v>303</v>
      </c>
      <c r="E195" s="46" t="s">
        <v>23</v>
      </c>
      <c r="F195" s="46">
        <v>1437.46</v>
      </c>
      <c r="G195" s="48">
        <v>59.45</v>
      </c>
      <c r="H195" s="49">
        <v>1.2223</v>
      </c>
      <c r="I195" s="48">
        <f t="shared" si="64"/>
        <v>72.665735</v>
      </c>
      <c r="J195" s="50">
        <f t="shared" si="65"/>
        <v>72.67</v>
      </c>
      <c r="K195" s="48">
        <f t="shared" si="66"/>
        <v>104460.2182</v>
      </c>
      <c r="L195" s="24"/>
      <c r="M195" s="24"/>
    </row>
    <row r="196" spans="1:13" ht="20.25">
      <c r="A196" s="51" t="s">
        <v>304</v>
      </c>
      <c r="B196" s="51" t="s">
        <v>26</v>
      </c>
      <c r="C196" s="51" t="s">
        <v>305</v>
      </c>
      <c r="D196" s="52" t="s">
        <v>306</v>
      </c>
      <c r="E196" s="51" t="s">
        <v>23</v>
      </c>
      <c r="F196" s="51">
        <v>1437.46</v>
      </c>
      <c r="G196" s="53">
        <f>33/1.195</f>
        <v>27.615062761506273</v>
      </c>
      <c r="H196" s="54">
        <v>1.2223</v>
      </c>
      <c r="I196" s="53">
        <f t="shared" si="64"/>
        <v>33.75389121338912</v>
      </c>
      <c r="J196" s="55">
        <f t="shared" si="65"/>
        <v>33.75</v>
      </c>
      <c r="K196" s="53">
        <f t="shared" si="66"/>
        <v>48514.275</v>
      </c>
      <c r="L196" s="24"/>
      <c r="M196" s="24"/>
    </row>
    <row r="197" spans="1:13" ht="2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4"/>
      <c r="M197" s="24"/>
    </row>
    <row r="198" spans="1:13" ht="20.25" customHeight="1">
      <c r="A198" s="72">
        <v>20</v>
      </c>
      <c r="B198" s="73" t="s">
        <v>307</v>
      </c>
      <c r="C198" s="73"/>
      <c r="D198" s="73"/>
      <c r="E198" s="73"/>
      <c r="F198" s="73"/>
      <c r="G198" s="73"/>
      <c r="H198" s="73"/>
      <c r="I198" s="73"/>
      <c r="J198" s="73"/>
      <c r="K198" s="27">
        <f>SUM(K199:K221)</f>
        <v>110755.1084</v>
      </c>
      <c r="L198" s="24"/>
      <c r="M198" s="24"/>
    </row>
    <row r="199" spans="1:13" ht="20.25">
      <c r="A199" s="64" t="s">
        <v>308</v>
      </c>
      <c r="B199" s="74" t="s">
        <v>80</v>
      </c>
      <c r="C199" s="28" t="s">
        <v>309</v>
      </c>
      <c r="D199" s="75" t="s">
        <v>310</v>
      </c>
      <c r="E199" s="76" t="s">
        <v>45</v>
      </c>
      <c r="F199" s="77">
        <v>8</v>
      </c>
      <c r="G199" s="78">
        <v>273.1</v>
      </c>
      <c r="H199" s="31">
        <v>1.2223</v>
      </c>
      <c r="I199" s="30">
        <f aca="true" t="shared" si="67" ref="I199:I221">H199*G199</f>
        <v>333.81013</v>
      </c>
      <c r="J199" s="32">
        <f aca="true" t="shared" si="68" ref="J199:J221">ROUND(I199,2)</f>
        <v>333.81</v>
      </c>
      <c r="K199" s="30">
        <f aca="true" t="shared" si="69" ref="K199:K221">J199*F199</f>
        <v>2670.48</v>
      </c>
      <c r="L199" s="24"/>
      <c r="M199" s="24"/>
    </row>
    <row r="200" spans="1:13" ht="20.25">
      <c r="A200" s="66" t="s">
        <v>311</v>
      </c>
      <c r="B200" s="66" t="s">
        <v>26</v>
      </c>
      <c r="C200" s="66" t="s">
        <v>312</v>
      </c>
      <c r="D200" s="34" t="s">
        <v>313</v>
      </c>
      <c r="E200" s="66" t="s">
        <v>52</v>
      </c>
      <c r="F200" s="79">
        <v>220</v>
      </c>
      <c r="G200" s="71">
        <f>2.03/1.195</f>
        <v>1.6987447698744766</v>
      </c>
      <c r="H200" s="36">
        <v>1.2223</v>
      </c>
      <c r="I200" s="35">
        <f t="shared" si="67"/>
        <v>2.076375732217573</v>
      </c>
      <c r="J200" s="37">
        <f t="shared" si="68"/>
        <v>2.08</v>
      </c>
      <c r="K200" s="35">
        <f t="shared" si="69"/>
        <v>457.6</v>
      </c>
      <c r="L200" s="24"/>
      <c r="M200" s="24"/>
    </row>
    <row r="201" spans="1:13" ht="20.25">
      <c r="A201" s="65" t="s">
        <v>314</v>
      </c>
      <c r="B201" s="65" t="s">
        <v>80</v>
      </c>
      <c r="C201" s="65" t="s">
        <v>315</v>
      </c>
      <c r="D201" s="47" t="s">
        <v>316</v>
      </c>
      <c r="E201" s="65" t="s">
        <v>45</v>
      </c>
      <c r="F201" s="80">
        <v>10</v>
      </c>
      <c r="G201" s="81">
        <v>2057.52</v>
      </c>
      <c r="H201" s="49">
        <v>1.2223</v>
      </c>
      <c r="I201" s="48">
        <f t="shared" si="67"/>
        <v>2514.906696</v>
      </c>
      <c r="J201" s="50">
        <f t="shared" si="68"/>
        <v>2514.91</v>
      </c>
      <c r="K201" s="48">
        <f t="shared" si="69"/>
        <v>25149.1</v>
      </c>
      <c r="L201" s="24"/>
      <c r="M201" s="24"/>
    </row>
    <row r="202" spans="1:13" ht="20.25">
      <c r="A202" s="66" t="s">
        <v>317</v>
      </c>
      <c r="B202" s="66" t="s">
        <v>80</v>
      </c>
      <c r="C202" s="66" t="s">
        <v>318</v>
      </c>
      <c r="D202" s="34" t="s">
        <v>319</v>
      </c>
      <c r="E202" s="66" t="s">
        <v>45</v>
      </c>
      <c r="F202" s="79">
        <v>10</v>
      </c>
      <c r="G202" s="71">
        <v>902.85</v>
      </c>
      <c r="H202" s="36">
        <v>1.2223</v>
      </c>
      <c r="I202" s="35">
        <f t="shared" si="67"/>
        <v>1103.553555</v>
      </c>
      <c r="J202" s="37">
        <f t="shared" si="68"/>
        <v>1103.55</v>
      </c>
      <c r="K202" s="35">
        <f t="shared" si="69"/>
        <v>11035.5</v>
      </c>
      <c r="L202" s="24"/>
      <c r="M202" s="24"/>
    </row>
    <row r="203" spans="1:13" ht="20.25">
      <c r="A203" s="65" t="s">
        <v>320</v>
      </c>
      <c r="B203" s="65" t="s">
        <v>26</v>
      </c>
      <c r="C203" s="65" t="s">
        <v>321</v>
      </c>
      <c r="D203" s="47" t="s">
        <v>322</v>
      </c>
      <c r="E203" s="65" t="s">
        <v>70</v>
      </c>
      <c r="F203" s="80">
        <v>4.68</v>
      </c>
      <c r="G203" s="81">
        <f>73.59/1.195</f>
        <v>61.58158995815899</v>
      </c>
      <c r="H203" s="49">
        <v>1.2223</v>
      </c>
      <c r="I203" s="48">
        <f t="shared" si="67"/>
        <v>75.27117740585773</v>
      </c>
      <c r="J203" s="50">
        <f t="shared" si="68"/>
        <v>75.27</v>
      </c>
      <c r="K203" s="48">
        <f t="shared" si="69"/>
        <v>352.26359999999994</v>
      </c>
      <c r="L203" s="24"/>
      <c r="M203" s="24"/>
    </row>
    <row r="204" spans="1:13" ht="24.75">
      <c r="A204" s="66" t="s">
        <v>323</v>
      </c>
      <c r="B204" s="66" t="s">
        <v>41</v>
      </c>
      <c r="C204" s="82">
        <v>97667</v>
      </c>
      <c r="D204" s="34" t="s">
        <v>324</v>
      </c>
      <c r="E204" s="66" t="s">
        <v>52</v>
      </c>
      <c r="F204" s="79">
        <v>52</v>
      </c>
      <c r="G204" s="71">
        <v>10.23</v>
      </c>
      <c r="H204" s="36">
        <v>1.2223</v>
      </c>
      <c r="I204" s="35">
        <f t="shared" si="67"/>
        <v>12.504129</v>
      </c>
      <c r="J204" s="37">
        <f t="shared" si="68"/>
        <v>12.5</v>
      </c>
      <c r="K204" s="35">
        <f t="shared" si="69"/>
        <v>650</v>
      </c>
      <c r="L204" s="24"/>
      <c r="M204" s="24"/>
    </row>
    <row r="205" spans="1:13" ht="20.25">
      <c r="A205" s="65" t="s">
        <v>325</v>
      </c>
      <c r="B205" s="65" t="s">
        <v>26</v>
      </c>
      <c r="C205" s="83" t="s">
        <v>326</v>
      </c>
      <c r="D205" s="47" t="s">
        <v>287</v>
      </c>
      <c r="E205" s="65" t="s">
        <v>70</v>
      </c>
      <c r="F205" s="80">
        <v>4.68</v>
      </c>
      <c r="G205" s="81">
        <f>64.39/1.195</f>
        <v>53.88284518828451</v>
      </c>
      <c r="H205" s="49">
        <v>1.2223</v>
      </c>
      <c r="I205" s="48">
        <f t="shared" si="67"/>
        <v>65.86100167364016</v>
      </c>
      <c r="J205" s="50">
        <f t="shared" si="68"/>
        <v>65.86</v>
      </c>
      <c r="K205" s="48">
        <f t="shared" si="69"/>
        <v>308.22479999999996</v>
      </c>
      <c r="L205" s="24"/>
      <c r="M205" s="24"/>
    </row>
    <row r="206" spans="1:13" ht="20.25">
      <c r="A206" s="66" t="s">
        <v>327</v>
      </c>
      <c r="B206" s="66" t="s">
        <v>41</v>
      </c>
      <c r="C206" s="82">
        <v>91935</v>
      </c>
      <c r="D206" s="34" t="s">
        <v>328</v>
      </c>
      <c r="E206" s="66" t="s">
        <v>52</v>
      </c>
      <c r="F206" s="79">
        <v>918</v>
      </c>
      <c r="G206" s="71">
        <v>23.58</v>
      </c>
      <c r="H206" s="36">
        <v>1.2223</v>
      </c>
      <c r="I206" s="35">
        <f t="shared" si="67"/>
        <v>28.821833999999996</v>
      </c>
      <c r="J206" s="37">
        <f t="shared" si="68"/>
        <v>28.82</v>
      </c>
      <c r="K206" s="35">
        <f t="shared" si="69"/>
        <v>26456.760000000002</v>
      </c>
      <c r="L206" s="24"/>
      <c r="M206" s="24"/>
    </row>
    <row r="207" spans="1:13" ht="24.75">
      <c r="A207" s="65" t="s">
        <v>329</v>
      </c>
      <c r="B207" s="65" t="s">
        <v>41</v>
      </c>
      <c r="C207" s="83">
        <v>101875</v>
      </c>
      <c r="D207" s="47" t="s">
        <v>330</v>
      </c>
      <c r="E207" s="65" t="s">
        <v>45</v>
      </c>
      <c r="F207" s="80">
        <v>1</v>
      </c>
      <c r="G207" s="81">
        <v>390.66</v>
      </c>
      <c r="H207" s="49">
        <v>1.2223</v>
      </c>
      <c r="I207" s="48">
        <f t="shared" si="67"/>
        <v>477.503718</v>
      </c>
      <c r="J207" s="50">
        <f t="shared" si="68"/>
        <v>477.5</v>
      </c>
      <c r="K207" s="48">
        <f t="shared" si="69"/>
        <v>477.5</v>
      </c>
      <c r="L207" s="24"/>
      <c r="M207" s="24"/>
    </row>
    <row r="208" spans="1:13" ht="20.25">
      <c r="A208" s="66" t="s">
        <v>331</v>
      </c>
      <c r="B208" s="66" t="s">
        <v>26</v>
      </c>
      <c r="C208" s="82" t="s">
        <v>332</v>
      </c>
      <c r="D208" s="34" t="s">
        <v>333</v>
      </c>
      <c r="E208" s="66" t="s">
        <v>45</v>
      </c>
      <c r="F208" s="79">
        <v>3</v>
      </c>
      <c r="G208" s="71">
        <f>471.14/1.195</f>
        <v>394.2594142259414</v>
      </c>
      <c r="H208" s="36">
        <v>1.2223</v>
      </c>
      <c r="I208" s="35">
        <f t="shared" si="67"/>
        <v>481.90328200836814</v>
      </c>
      <c r="J208" s="37">
        <f t="shared" si="68"/>
        <v>481.9</v>
      </c>
      <c r="K208" s="35">
        <f t="shared" si="69"/>
        <v>1445.6999999999998</v>
      </c>
      <c r="L208" s="24"/>
      <c r="M208" s="24"/>
    </row>
    <row r="209" spans="1:13" ht="24.75">
      <c r="A209" s="65" t="s">
        <v>334</v>
      </c>
      <c r="B209" s="65" t="s">
        <v>41</v>
      </c>
      <c r="C209" s="83">
        <v>103328</v>
      </c>
      <c r="D209" s="47" t="s">
        <v>335</v>
      </c>
      <c r="E209" s="65" t="s">
        <v>23</v>
      </c>
      <c r="F209" s="80">
        <v>1.5</v>
      </c>
      <c r="G209" s="81">
        <v>97.16</v>
      </c>
      <c r="H209" s="49">
        <v>1.2223</v>
      </c>
      <c r="I209" s="48">
        <f t="shared" si="67"/>
        <v>118.75866799999999</v>
      </c>
      <c r="J209" s="50">
        <f t="shared" si="68"/>
        <v>118.76</v>
      </c>
      <c r="K209" s="48">
        <f t="shared" si="69"/>
        <v>178.14000000000001</v>
      </c>
      <c r="L209" s="24"/>
      <c r="M209" s="24"/>
    </row>
    <row r="210" spans="1:13" ht="20.25">
      <c r="A210" s="66" t="s">
        <v>336</v>
      </c>
      <c r="B210" s="66" t="s">
        <v>80</v>
      </c>
      <c r="C210" s="66" t="s">
        <v>81</v>
      </c>
      <c r="D210" s="34" t="s">
        <v>82</v>
      </c>
      <c r="E210" s="66" t="s">
        <v>23</v>
      </c>
      <c r="F210" s="84">
        <v>1.5</v>
      </c>
      <c r="G210" s="71">
        <v>6.96</v>
      </c>
      <c r="H210" s="36">
        <v>1.2223</v>
      </c>
      <c r="I210" s="35">
        <f t="shared" si="67"/>
        <v>8.507208</v>
      </c>
      <c r="J210" s="37">
        <f t="shared" si="68"/>
        <v>8.51</v>
      </c>
      <c r="K210" s="35">
        <f t="shared" si="69"/>
        <v>12.765</v>
      </c>
      <c r="L210" s="24"/>
      <c r="M210" s="24"/>
    </row>
    <row r="211" spans="1:13" ht="31.5">
      <c r="A211" s="65" t="s">
        <v>337</v>
      </c>
      <c r="B211" s="65" t="s">
        <v>41</v>
      </c>
      <c r="C211" s="65">
        <v>87529</v>
      </c>
      <c r="D211" s="47" t="s">
        <v>84</v>
      </c>
      <c r="E211" s="65" t="s">
        <v>23</v>
      </c>
      <c r="F211" s="85">
        <v>1.5</v>
      </c>
      <c r="G211" s="81">
        <v>37.05</v>
      </c>
      <c r="H211" s="49">
        <v>1.2223</v>
      </c>
      <c r="I211" s="48">
        <f t="shared" si="67"/>
        <v>45.28621499999999</v>
      </c>
      <c r="J211" s="50">
        <f t="shared" si="68"/>
        <v>45.29</v>
      </c>
      <c r="K211" s="48">
        <f t="shared" si="69"/>
        <v>67.935</v>
      </c>
      <c r="L211" s="24"/>
      <c r="M211" s="24"/>
    </row>
    <row r="212" spans="1:13" ht="20.25">
      <c r="A212" s="66" t="s">
        <v>338</v>
      </c>
      <c r="B212" s="66" t="s">
        <v>26</v>
      </c>
      <c r="C212" s="82" t="s">
        <v>339</v>
      </c>
      <c r="D212" s="34" t="s">
        <v>340</v>
      </c>
      <c r="E212" s="66" t="s">
        <v>45</v>
      </c>
      <c r="F212" s="79">
        <v>1</v>
      </c>
      <c r="G212" s="71">
        <f>158.18/1.195</f>
        <v>132.36820083682008</v>
      </c>
      <c r="H212" s="36">
        <v>1.2223</v>
      </c>
      <c r="I212" s="35">
        <f t="shared" si="67"/>
        <v>161.79365188284518</v>
      </c>
      <c r="J212" s="37">
        <f t="shared" si="68"/>
        <v>161.79</v>
      </c>
      <c r="K212" s="35">
        <f t="shared" si="69"/>
        <v>161.79</v>
      </c>
      <c r="L212" s="24"/>
      <c r="M212" s="24"/>
    </row>
    <row r="213" spans="1:13" s="5" customFormat="1" ht="20.25">
      <c r="A213" s="65" t="s">
        <v>341</v>
      </c>
      <c r="B213" s="65" t="s">
        <v>26</v>
      </c>
      <c r="C213" s="83" t="s">
        <v>342</v>
      </c>
      <c r="D213" s="47" t="s">
        <v>343</v>
      </c>
      <c r="E213" s="65" t="s">
        <v>45</v>
      </c>
      <c r="F213" s="80">
        <v>1</v>
      </c>
      <c r="G213" s="81">
        <f>142.73/1.195</f>
        <v>119.43933054393304</v>
      </c>
      <c r="H213" s="49">
        <v>1.2223</v>
      </c>
      <c r="I213" s="48">
        <f t="shared" si="67"/>
        <v>145.99069372384935</v>
      </c>
      <c r="J213" s="50">
        <f t="shared" si="68"/>
        <v>145.99</v>
      </c>
      <c r="K213" s="48">
        <f t="shared" si="69"/>
        <v>145.99</v>
      </c>
      <c r="L213" s="24"/>
      <c r="M213" s="24"/>
    </row>
    <row r="214" spans="1:13" ht="20.25">
      <c r="A214" s="66" t="s">
        <v>344</v>
      </c>
      <c r="B214" s="66" t="s">
        <v>26</v>
      </c>
      <c r="C214" s="82" t="s">
        <v>345</v>
      </c>
      <c r="D214" s="34" t="s">
        <v>346</v>
      </c>
      <c r="E214" s="66" t="s">
        <v>45</v>
      </c>
      <c r="F214" s="79">
        <v>1</v>
      </c>
      <c r="G214" s="71">
        <f>105.82/1.195</f>
        <v>88.55230125523012</v>
      </c>
      <c r="H214" s="36">
        <v>1.2223</v>
      </c>
      <c r="I214" s="35">
        <f t="shared" si="67"/>
        <v>108.23747782426777</v>
      </c>
      <c r="J214" s="37">
        <f t="shared" si="68"/>
        <v>108.24</v>
      </c>
      <c r="K214" s="35">
        <f t="shared" si="69"/>
        <v>108.24</v>
      </c>
      <c r="L214" s="24"/>
      <c r="M214" s="24"/>
    </row>
    <row r="215" spans="1:13" ht="20.25">
      <c r="A215" s="65" t="s">
        <v>347</v>
      </c>
      <c r="B215" s="65" t="s">
        <v>80</v>
      </c>
      <c r="C215" s="83" t="s">
        <v>348</v>
      </c>
      <c r="D215" s="47" t="s">
        <v>349</v>
      </c>
      <c r="E215" s="65" t="s">
        <v>45</v>
      </c>
      <c r="F215" s="80">
        <v>1</v>
      </c>
      <c r="G215" s="81">
        <v>1289.47</v>
      </c>
      <c r="H215" s="49">
        <v>1.2223</v>
      </c>
      <c r="I215" s="48">
        <f t="shared" si="67"/>
        <v>1576.119181</v>
      </c>
      <c r="J215" s="50">
        <f t="shared" si="68"/>
        <v>1576.12</v>
      </c>
      <c r="K215" s="48">
        <f t="shared" si="69"/>
        <v>1576.12</v>
      </c>
      <c r="L215" s="24"/>
      <c r="M215" s="24"/>
    </row>
    <row r="216" spans="1:13" ht="20.25">
      <c r="A216" s="66" t="s">
        <v>350</v>
      </c>
      <c r="B216" s="66" t="s">
        <v>80</v>
      </c>
      <c r="C216" s="82" t="s">
        <v>351</v>
      </c>
      <c r="D216" s="34" t="s">
        <v>352</v>
      </c>
      <c r="E216" s="66" t="s">
        <v>45</v>
      </c>
      <c r="F216" s="79">
        <v>1</v>
      </c>
      <c r="G216" s="71">
        <v>92.56</v>
      </c>
      <c r="H216" s="36">
        <v>1.2223</v>
      </c>
      <c r="I216" s="35">
        <f t="shared" si="67"/>
        <v>113.136088</v>
      </c>
      <c r="J216" s="37">
        <f t="shared" si="68"/>
        <v>113.14</v>
      </c>
      <c r="K216" s="35">
        <f t="shared" si="69"/>
        <v>113.14</v>
      </c>
      <c r="L216" s="24"/>
      <c r="M216" s="24"/>
    </row>
    <row r="217" spans="1:13" ht="20.25">
      <c r="A217" s="65" t="s">
        <v>353</v>
      </c>
      <c r="B217" s="65" t="s">
        <v>80</v>
      </c>
      <c r="C217" s="83" t="s">
        <v>354</v>
      </c>
      <c r="D217" s="47" t="s">
        <v>355</v>
      </c>
      <c r="E217" s="65" t="s">
        <v>45</v>
      </c>
      <c r="F217" s="80">
        <v>1</v>
      </c>
      <c r="G217" s="81">
        <v>607.29</v>
      </c>
      <c r="H217" s="49">
        <v>1.2223</v>
      </c>
      <c r="I217" s="48">
        <f t="shared" si="67"/>
        <v>742.2905669999999</v>
      </c>
      <c r="J217" s="50">
        <f t="shared" si="68"/>
        <v>742.29</v>
      </c>
      <c r="K217" s="48">
        <f t="shared" si="69"/>
        <v>742.29</v>
      </c>
      <c r="L217" s="24"/>
      <c r="M217" s="24"/>
    </row>
    <row r="218" spans="1:13" ht="20.25">
      <c r="A218" s="66" t="s">
        <v>356</v>
      </c>
      <c r="B218" s="66" t="s">
        <v>26</v>
      </c>
      <c r="C218" s="82" t="s">
        <v>357</v>
      </c>
      <c r="D218" s="34" t="s">
        <v>358</v>
      </c>
      <c r="E218" s="66" t="s">
        <v>45</v>
      </c>
      <c r="F218" s="79">
        <v>76</v>
      </c>
      <c r="G218" s="71">
        <f>269.63/1.195</f>
        <v>225.6317991631799</v>
      </c>
      <c r="H218" s="36">
        <v>1.2223</v>
      </c>
      <c r="I218" s="35">
        <f t="shared" si="67"/>
        <v>275.7897481171548</v>
      </c>
      <c r="J218" s="37">
        <f t="shared" si="68"/>
        <v>275.79</v>
      </c>
      <c r="K218" s="35">
        <f t="shared" si="69"/>
        <v>20960.04</v>
      </c>
      <c r="L218" s="24"/>
      <c r="M218" s="24"/>
    </row>
    <row r="219" spans="1:13" ht="20.25">
      <c r="A219" s="65" t="s">
        <v>359</v>
      </c>
      <c r="B219" s="65" t="s">
        <v>80</v>
      </c>
      <c r="C219" s="83" t="s">
        <v>360</v>
      </c>
      <c r="D219" s="47" t="s">
        <v>361</v>
      </c>
      <c r="E219" s="65" t="s">
        <v>52</v>
      </c>
      <c r="F219" s="80">
        <v>151</v>
      </c>
      <c r="G219" s="81">
        <v>54.97</v>
      </c>
      <c r="H219" s="49">
        <v>1.2223</v>
      </c>
      <c r="I219" s="48">
        <f t="shared" si="67"/>
        <v>67.189831</v>
      </c>
      <c r="J219" s="50">
        <f t="shared" si="68"/>
        <v>67.19</v>
      </c>
      <c r="K219" s="48">
        <f t="shared" si="69"/>
        <v>10145.69</v>
      </c>
      <c r="L219" s="24"/>
      <c r="M219" s="24"/>
    </row>
    <row r="220" spans="1:13" ht="20.25">
      <c r="A220" s="66" t="s">
        <v>362</v>
      </c>
      <c r="B220" s="66" t="s">
        <v>80</v>
      </c>
      <c r="C220" s="82" t="s">
        <v>363</v>
      </c>
      <c r="D220" s="34" t="s">
        <v>364</v>
      </c>
      <c r="E220" s="66" t="s">
        <v>45</v>
      </c>
      <c r="F220" s="79">
        <v>36</v>
      </c>
      <c r="G220" s="71">
        <v>44.67</v>
      </c>
      <c r="H220" s="36">
        <v>1.2223</v>
      </c>
      <c r="I220" s="35">
        <f t="shared" si="67"/>
        <v>54.600141</v>
      </c>
      <c r="J220" s="37">
        <f t="shared" si="68"/>
        <v>54.6</v>
      </c>
      <c r="K220" s="35">
        <f t="shared" si="69"/>
        <v>1965.6000000000001</v>
      </c>
      <c r="L220" s="24"/>
      <c r="M220" s="24"/>
    </row>
    <row r="221" spans="1:13" ht="20.25">
      <c r="A221" s="86" t="s">
        <v>365</v>
      </c>
      <c r="B221" s="86" t="s">
        <v>41</v>
      </c>
      <c r="C221" s="87">
        <v>91931</v>
      </c>
      <c r="D221" s="39" t="s">
        <v>366</v>
      </c>
      <c r="E221" s="86" t="s">
        <v>52</v>
      </c>
      <c r="F221" s="88">
        <v>474</v>
      </c>
      <c r="G221" s="89">
        <v>9.62</v>
      </c>
      <c r="H221" s="41">
        <v>1.2223</v>
      </c>
      <c r="I221" s="40">
        <f t="shared" si="67"/>
        <v>11.758525999999998</v>
      </c>
      <c r="J221" s="42">
        <f t="shared" si="68"/>
        <v>11.76</v>
      </c>
      <c r="K221" s="40">
        <f t="shared" si="69"/>
        <v>5574.24</v>
      </c>
      <c r="L221" s="24"/>
      <c r="M221" s="24"/>
    </row>
    <row r="222" spans="1:13" ht="2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4"/>
      <c r="M222" s="24"/>
    </row>
    <row r="223" spans="1:13" ht="20.25" customHeight="1">
      <c r="A223" s="72">
        <v>21</v>
      </c>
      <c r="B223" s="73" t="s">
        <v>367</v>
      </c>
      <c r="C223" s="73"/>
      <c r="D223" s="73"/>
      <c r="E223" s="73"/>
      <c r="F223" s="73"/>
      <c r="G223" s="73"/>
      <c r="H223" s="73"/>
      <c r="I223" s="73"/>
      <c r="J223" s="73"/>
      <c r="K223" s="27">
        <f>SUM(K224:K235)</f>
        <v>68461.84</v>
      </c>
      <c r="L223" s="24"/>
      <c r="M223" s="24"/>
    </row>
    <row r="224" spans="1:13" ht="20.25">
      <c r="A224" s="90" t="s">
        <v>368</v>
      </c>
      <c r="B224" s="64" t="s">
        <v>80</v>
      </c>
      <c r="C224" s="91" t="s">
        <v>369</v>
      </c>
      <c r="D224" s="29" t="s">
        <v>370</v>
      </c>
      <c r="E224" s="64" t="s">
        <v>45</v>
      </c>
      <c r="F224" s="77">
        <v>72</v>
      </c>
      <c r="G224" s="78">
        <v>20.02</v>
      </c>
      <c r="H224" s="31">
        <v>1.2223</v>
      </c>
      <c r="I224" s="30">
        <f aca="true" t="shared" si="70" ref="I224:I235">H224*G224</f>
        <v>24.470446</v>
      </c>
      <c r="J224" s="32">
        <f aca="true" t="shared" si="71" ref="J224:J235">ROUND(I224,2)</f>
        <v>24.47</v>
      </c>
      <c r="K224" s="30">
        <f aca="true" t="shared" si="72" ref="K224:K235">J224*F224</f>
        <v>1761.84</v>
      </c>
      <c r="L224" s="24"/>
      <c r="M224" s="24"/>
    </row>
    <row r="225" spans="1:13" ht="20.25">
      <c r="A225" s="92" t="s">
        <v>371</v>
      </c>
      <c r="B225" s="66" t="s">
        <v>80</v>
      </c>
      <c r="C225" s="82" t="s">
        <v>372</v>
      </c>
      <c r="D225" s="34" t="s">
        <v>373</v>
      </c>
      <c r="E225" s="66" t="s">
        <v>52</v>
      </c>
      <c r="F225" s="79">
        <v>371</v>
      </c>
      <c r="G225" s="71">
        <v>5.01</v>
      </c>
      <c r="H225" s="36">
        <v>1.2223</v>
      </c>
      <c r="I225" s="35">
        <f t="shared" si="70"/>
        <v>6.123722999999999</v>
      </c>
      <c r="J225" s="37">
        <f t="shared" si="71"/>
        <v>6.12</v>
      </c>
      <c r="K225" s="35">
        <f t="shared" si="72"/>
        <v>2270.52</v>
      </c>
      <c r="L225" s="24"/>
      <c r="M225" s="24"/>
    </row>
    <row r="226" spans="1:13" ht="20.25">
      <c r="A226" s="93" t="s">
        <v>374</v>
      </c>
      <c r="B226" s="65" t="s">
        <v>41</v>
      </c>
      <c r="C226" s="83">
        <v>90443</v>
      </c>
      <c r="D226" s="47" t="s">
        <v>375</v>
      </c>
      <c r="E226" s="65" t="s">
        <v>52</v>
      </c>
      <c r="F226" s="80">
        <v>172</v>
      </c>
      <c r="G226" s="81">
        <v>17.56</v>
      </c>
      <c r="H226" s="49">
        <v>1.2223</v>
      </c>
      <c r="I226" s="48">
        <f t="shared" si="70"/>
        <v>21.463587999999998</v>
      </c>
      <c r="J226" s="50">
        <f t="shared" si="71"/>
        <v>21.46</v>
      </c>
      <c r="K226" s="48">
        <f t="shared" si="72"/>
        <v>3691.1200000000003</v>
      </c>
      <c r="L226" s="24"/>
      <c r="M226" s="24"/>
    </row>
    <row r="227" spans="1:13" ht="20.25">
      <c r="A227" s="92" t="s">
        <v>376</v>
      </c>
      <c r="B227" s="66" t="s">
        <v>41</v>
      </c>
      <c r="C227" s="82">
        <v>91856</v>
      </c>
      <c r="D227" s="34" t="s">
        <v>377</v>
      </c>
      <c r="E227" s="66" t="s">
        <v>52</v>
      </c>
      <c r="F227" s="79">
        <v>172</v>
      </c>
      <c r="G227" s="71">
        <v>15.14</v>
      </c>
      <c r="H227" s="36">
        <v>1.2223</v>
      </c>
      <c r="I227" s="35">
        <f t="shared" si="70"/>
        <v>18.505622</v>
      </c>
      <c r="J227" s="37">
        <f t="shared" si="71"/>
        <v>18.51</v>
      </c>
      <c r="K227" s="35">
        <f t="shared" si="72"/>
        <v>3183.7200000000003</v>
      </c>
      <c r="L227" s="24"/>
      <c r="M227" s="24"/>
    </row>
    <row r="228" spans="1:13" ht="20.25">
      <c r="A228" s="93" t="s">
        <v>378</v>
      </c>
      <c r="B228" s="65" t="s">
        <v>41</v>
      </c>
      <c r="C228" s="83">
        <v>90466</v>
      </c>
      <c r="D228" s="47" t="s">
        <v>379</v>
      </c>
      <c r="E228" s="65" t="s">
        <v>52</v>
      </c>
      <c r="F228" s="80">
        <v>172</v>
      </c>
      <c r="G228" s="81">
        <v>16.86</v>
      </c>
      <c r="H228" s="49">
        <v>1.2223</v>
      </c>
      <c r="I228" s="48">
        <f t="shared" si="70"/>
        <v>20.607978</v>
      </c>
      <c r="J228" s="50">
        <f t="shared" si="71"/>
        <v>20.61</v>
      </c>
      <c r="K228" s="48">
        <f t="shared" si="72"/>
        <v>3544.92</v>
      </c>
      <c r="L228" s="24"/>
      <c r="M228" s="24"/>
    </row>
    <row r="229" spans="1:13" ht="20.25">
      <c r="A229" s="92" t="s">
        <v>380</v>
      </c>
      <c r="B229" s="66" t="s">
        <v>26</v>
      </c>
      <c r="C229" s="82" t="s">
        <v>357</v>
      </c>
      <c r="D229" s="34" t="s">
        <v>358</v>
      </c>
      <c r="E229" s="66" t="s">
        <v>45</v>
      </c>
      <c r="F229" s="79">
        <v>12</v>
      </c>
      <c r="G229" s="71">
        <f>269.63/1.195</f>
        <v>225.6317991631799</v>
      </c>
      <c r="H229" s="36">
        <v>1.2223</v>
      </c>
      <c r="I229" s="35">
        <f t="shared" si="70"/>
        <v>275.7897481171548</v>
      </c>
      <c r="J229" s="37">
        <f t="shared" si="71"/>
        <v>275.79</v>
      </c>
      <c r="K229" s="35">
        <f t="shared" si="72"/>
        <v>3309.4800000000005</v>
      </c>
      <c r="L229" s="24"/>
      <c r="M229" s="24"/>
    </row>
    <row r="230" spans="1:13" ht="20.25">
      <c r="A230" s="93" t="s">
        <v>381</v>
      </c>
      <c r="B230" s="65" t="s">
        <v>26</v>
      </c>
      <c r="C230" s="83" t="s">
        <v>382</v>
      </c>
      <c r="D230" s="47" t="s">
        <v>383</v>
      </c>
      <c r="E230" s="65" t="s">
        <v>45</v>
      </c>
      <c r="F230" s="80">
        <v>32</v>
      </c>
      <c r="G230" s="81">
        <f>383.14/1.195</f>
        <v>320.61924686192464</v>
      </c>
      <c r="H230" s="49">
        <v>1.2223</v>
      </c>
      <c r="I230" s="48">
        <f t="shared" si="70"/>
        <v>391.8929054393305</v>
      </c>
      <c r="J230" s="50">
        <f t="shared" si="71"/>
        <v>391.89</v>
      </c>
      <c r="K230" s="48">
        <f t="shared" si="72"/>
        <v>12540.48</v>
      </c>
      <c r="L230" s="24"/>
      <c r="M230" s="24"/>
    </row>
    <row r="231" spans="1:13" ht="20.25">
      <c r="A231" s="92" t="s">
        <v>384</v>
      </c>
      <c r="B231" s="66" t="s">
        <v>80</v>
      </c>
      <c r="C231" s="82" t="s">
        <v>385</v>
      </c>
      <c r="D231" s="34" t="s">
        <v>386</v>
      </c>
      <c r="E231" s="66" t="s">
        <v>45</v>
      </c>
      <c r="F231" s="79">
        <v>24</v>
      </c>
      <c r="G231" s="71">
        <v>163.52</v>
      </c>
      <c r="H231" s="36">
        <v>1.2223</v>
      </c>
      <c r="I231" s="35">
        <f t="shared" si="70"/>
        <v>199.870496</v>
      </c>
      <c r="J231" s="37">
        <f t="shared" si="71"/>
        <v>199.87</v>
      </c>
      <c r="K231" s="35">
        <f t="shared" si="72"/>
        <v>4796.88</v>
      </c>
      <c r="L231" s="24"/>
      <c r="M231" s="24"/>
    </row>
    <row r="232" spans="1:13" ht="20.25">
      <c r="A232" s="93" t="s">
        <v>387</v>
      </c>
      <c r="B232" s="65" t="s">
        <v>26</v>
      </c>
      <c r="C232" s="83" t="s">
        <v>388</v>
      </c>
      <c r="D232" s="47" t="s">
        <v>389</v>
      </c>
      <c r="E232" s="65" t="s">
        <v>45</v>
      </c>
      <c r="F232" s="80">
        <v>40</v>
      </c>
      <c r="G232" s="81">
        <f>484.82/1.195</f>
        <v>405.70711297071125</v>
      </c>
      <c r="H232" s="49">
        <v>1.2223</v>
      </c>
      <c r="I232" s="48">
        <f t="shared" si="70"/>
        <v>495.8958041841003</v>
      </c>
      <c r="J232" s="50">
        <f t="shared" si="71"/>
        <v>495.9</v>
      </c>
      <c r="K232" s="48">
        <f t="shared" si="72"/>
        <v>19836</v>
      </c>
      <c r="L232" s="24"/>
      <c r="M232" s="24"/>
    </row>
    <row r="233" spans="1:13" ht="20.25">
      <c r="A233" s="92" t="s">
        <v>390</v>
      </c>
      <c r="B233" s="66" t="s">
        <v>26</v>
      </c>
      <c r="C233" s="82" t="s">
        <v>391</v>
      </c>
      <c r="D233" s="34" t="s">
        <v>392</v>
      </c>
      <c r="E233" s="66" t="s">
        <v>45</v>
      </c>
      <c r="F233" s="79">
        <v>160</v>
      </c>
      <c r="G233" s="71">
        <f>31.38/1.195</f>
        <v>26.25941422594142</v>
      </c>
      <c r="H233" s="36">
        <v>1.2223</v>
      </c>
      <c r="I233" s="35">
        <f t="shared" si="70"/>
        <v>32.0968820083682</v>
      </c>
      <c r="J233" s="37">
        <f t="shared" si="71"/>
        <v>32.1</v>
      </c>
      <c r="K233" s="35">
        <f t="shared" si="72"/>
        <v>5136</v>
      </c>
      <c r="L233" s="24"/>
      <c r="M233" s="24"/>
    </row>
    <row r="234" spans="1:13" ht="20.25">
      <c r="A234" s="93" t="s">
        <v>393</v>
      </c>
      <c r="B234" s="65" t="s">
        <v>41</v>
      </c>
      <c r="C234" s="83">
        <v>91929</v>
      </c>
      <c r="D234" s="47" t="s">
        <v>394</v>
      </c>
      <c r="E234" s="65" t="s">
        <v>52</v>
      </c>
      <c r="F234" s="80">
        <f>528+224</f>
        <v>752</v>
      </c>
      <c r="G234" s="81">
        <v>6.91</v>
      </c>
      <c r="H234" s="49">
        <v>1.2223</v>
      </c>
      <c r="I234" s="48">
        <f t="shared" si="70"/>
        <v>8.446093</v>
      </c>
      <c r="J234" s="50">
        <f t="shared" si="71"/>
        <v>8.45</v>
      </c>
      <c r="K234" s="48">
        <f t="shared" si="72"/>
        <v>6354.4</v>
      </c>
      <c r="L234" s="24"/>
      <c r="M234" s="24"/>
    </row>
    <row r="235" spans="1:13" ht="20.25">
      <c r="A235" s="94" t="s">
        <v>395</v>
      </c>
      <c r="B235" s="95" t="s">
        <v>26</v>
      </c>
      <c r="C235" s="96" t="s">
        <v>396</v>
      </c>
      <c r="D235" s="52" t="s">
        <v>397</v>
      </c>
      <c r="E235" s="95" t="s">
        <v>45</v>
      </c>
      <c r="F235" s="97">
        <v>32</v>
      </c>
      <c r="G235" s="98">
        <f>62.22/1.195</f>
        <v>52.06694560669456</v>
      </c>
      <c r="H235" s="54">
        <v>1.2223</v>
      </c>
      <c r="I235" s="53">
        <f t="shared" si="70"/>
        <v>63.64142761506276</v>
      </c>
      <c r="J235" s="55">
        <f t="shared" si="71"/>
        <v>63.64</v>
      </c>
      <c r="K235" s="53">
        <f t="shared" si="72"/>
        <v>2036.48</v>
      </c>
      <c r="L235" s="24"/>
      <c r="M235" s="24"/>
    </row>
    <row r="236" spans="1:11" ht="20.25">
      <c r="A236" s="99"/>
      <c r="B236" s="99"/>
      <c r="C236" s="99"/>
      <c r="D236" s="100"/>
      <c r="E236" s="99"/>
      <c r="F236" s="99"/>
      <c r="G236" s="101" t="s">
        <v>398</v>
      </c>
      <c r="H236" s="101"/>
      <c r="I236" s="101"/>
      <c r="J236" s="101"/>
      <c r="K236" s="102">
        <f>K223+K198+K190+K184+K168+K163+K160+K154+K149+K143+K140+K132+K109+K92+K75+K72+K58+K52+K16+K11+K8</f>
        <v>3091910.0986400004</v>
      </c>
    </row>
    <row r="237" spans="1:11" ht="20.25">
      <c r="A237" s="99"/>
      <c r="B237" s="99"/>
      <c r="C237" s="99"/>
      <c r="D237" s="100"/>
      <c r="E237" s="99"/>
      <c r="F237" s="99"/>
      <c r="G237" s="103"/>
      <c r="H237" s="104"/>
      <c r="I237" s="103"/>
      <c r="J237" s="105"/>
      <c r="K237" s="105"/>
    </row>
    <row r="238" spans="1:11" ht="20.25">
      <c r="A238" s="106" t="s">
        <v>399</v>
      </c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</row>
    <row r="239" spans="1:11" ht="20.25">
      <c r="A239" s="107" t="s">
        <v>7</v>
      </c>
      <c r="B239" s="107" t="s">
        <v>8</v>
      </c>
      <c r="C239" s="107" t="s">
        <v>9</v>
      </c>
      <c r="D239" s="108" t="s">
        <v>10</v>
      </c>
      <c r="E239" s="107" t="s">
        <v>11</v>
      </c>
      <c r="F239" s="107" t="s">
        <v>12</v>
      </c>
      <c r="G239" s="109" t="s">
        <v>13</v>
      </c>
      <c r="H239" s="110" t="s">
        <v>14</v>
      </c>
      <c r="I239" s="109" t="s">
        <v>15</v>
      </c>
      <c r="J239" s="109" t="s">
        <v>16</v>
      </c>
      <c r="K239" s="109" t="s">
        <v>17</v>
      </c>
    </row>
    <row r="240" spans="1:11" s="5" customFormat="1" ht="20.25">
      <c r="A240" s="111" t="s">
        <v>18</v>
      </c>
      <c r="B240" s="112" t="s">
        <v>240</v>
      </c>
      <c r="C240" s="112"/>
      <c r="D240" s="112"/>
      <c r="E240" s="112"/>
      <c r="F240" s="112"/>
      <c r="G240" s="112"/>
      <c r="H240" s="112"/>
      <c r="I240" s="112"/>
      <c r="J240" s="112"/>
      <c r="K240" s="113">
        <f>SUM(K241)</f>
        <v>9729.126400000001</v>
      </c>
    </row>
    <row r="241" spans="1:11" s="5" customFormat="1" ht="20.25">
      <c r="A241" s="19" t="s">
        <v>20</v>
      </c>
      <c r="B241" s="19" t="s">
        <v>41</v>
      </c>
      <c r="C241" s="19">
        <v>102505</v>
      </c>
      <c r="D241" s="20" t="s">
        <v>400</v>
      </c>
      <c r="E241" s="19" t="s">
        <v>52</v>
      </c>
      <c r="F241" s="19">
        <v>620.48</v>
      </c>
      <c r="G241" s="21">
        <v>12.83</v>
      </c>
      <c r="H241" s="22">
        <v>1.2223</v>
      </c>
      <c r="I241" s="21">
        <f>H241*G241</f>
        <v>15.682108999999999</v>
      </c>
      <c r="J241" s="23">
        <f>ROUND(I241,2)</f>
        <v>15.68</v>
      </c>
      <c r="K241" s="21">
        <f>J241*F241</f>
        <v>9729.126400000001</v>
      </c>
    </row>
    <row r="242" spans="1:11" s="5" customFormat="1" ht="20.25">
      <c r="A242" s="114" t="s">
        <v>401</v>
      </c>
      <c r="B242" s="115" t="s">
        <v>402</v>
      </c>
      <c r="C242" s="115"/>
      <c r="D242" s="115"/>
      <c r="E242" s="115"/>
      <c r="F242" s="115"/>
      <c r="G242" s="115"/>
      <c r="H242" s="115"/>
      <c r="I242" s="115"/>
      <c r="J242" s="115"/>
      <c r="K242" s="116">
        <f>SUM(K243:K248)</f>
        <v>56600.5506</v>
      </c>
    </row>
    <row r="243" spans="1:11" s="5" customFormat="1" ht="31.5">
      <c r="A243" s="28" t="s">
        <v>25</v>
      </c>
      <c r="B243" s="28" t="s">
        <v>41</v>
      </c>
      <c r="C243" s="28">
        <v>102690</v>
      </c>
      <c r="D243" s="29" t="s">
        <v>403</v>
      </c>
      <c r="E243" s="28" t="s">
        <v>52</v>
      </c>
      <c r="F243" s="28">
        <v>504</v>
      </c>
      <c r="G243" s="30">
        <v>64.69</v>
      </c>
      <c r="H243" s="31">
        <v>1.2223</v>
      </c>
      <c r="I243" s="30">
        <f aca="true" t="shared" si="73" ref="I243:I248">H243*G243</f>
        <v>79.07058699999999</v>
      </c>
      <c r="J243" s="32">
        <f aca="true" t="shared" si="74" ref="J243:J248">ROUND(I243,2)</f>
        <v>79.07</v>
      </c>
      <c r="K243" s="30">
        <f aca="true" t="shared" si="75" ref="K243:K248">J243*F243</f>
        <v>39851.28</v>
      </c>
    </row>
    <row r="244" spans="1:11" ht="20.25">
      <c r="A244" s="33" t="s">
        <v>29</v>
      </c>
      <c r="B244" s="33" t="s">
        <v>41</v>
      </c>
      <c r="C244" s="33">
        <v>93358</v>
      </c>
      <c r="D244" s="34" t="s">
        <v>404</v>
      </c>
      <c r="E244" s="33" t="s">
        <v>23</v>
      </c>
      <c r="F244" s="33">
        <v>2.37</v>
      </c>
      <c r="G244" s="35">
        <v>108.07</v>
      </c>
      <c r="H244" s="36">
        <v>1.2223</v>
      </c>
      <c r="I244" s="35">
        <f t="shared" si="73"/>
        <v>132.09396099999998</v>
      </c>
      <c r="J244" s="37">
        <f t="shared" si="74"/>
        <v>132.09</v>
      </c>
      <c r="K244" s="35">
        <f t="shared" si="75"/>
        <v>313.05330000000004</v>
      </c>
    </row>
    <row r="245" spans="1:11" ht="20.25">
      <c r="A245" s="46" t="s">
        <v>33</v>
      </c>
      <c r="B245" s="46" t="s">
        <v>41</v>
      </c>
      <c r="C245" s="46">
        <v>89512</v>
      </c>
      <c r="D245" s="47" t="s">
        <v>405</v>
      </c>
      <c r="E245" s="46" t="s">
        <v>52</v>
      </c>
      <c r="F245" s="46">
        <v>39.6</v>
      </c>
      <c r="G245" s="48">
        <v>57.54</v>
      </c>
      <c r="H245" s="49">
        <v>1.2223</v>
      </c>
      <c r="I245" s="48">
        <f t="shared" si="73"/>
        <v>70.331142</v>
      </c>
      <c r="J245" s="50">
        <f t="shared" si="74"/>
        <v>70.33</v>
      </c>
      <c r="K245" s="48">
        <f t="shared" si="75"/>
        <v>2785.068</v>
      </c>
    </row>
    <row r="246" spans="1:60" s="117" customFormat="1" ht="20.25">
      <c r="A246" s="33" t="s">
        <v>406</v>
      </c>
      <c r="B246" s="33" t="s">
        <v>41</v>
      </c>
      <c r="C246" s="33">
        <v>96995</v>
      </c>
      <c r="D246" s="34" t="s">
        <v>407</v>
      </c>
      <c r="E246" s="33" t="s">
        <v>70</v>
      </c>
      <c r="F246" s="33">
        <v>2.37</v>
      </c>
      <c r="G246" s="35">
        <v>65.52</v>
      </c>
      <c r="H246" s="36">
        <v>1.2223</v>
      </c>
      <c r="I246" s="35">
        <f t="shared" si="73"/>
        <v>80.085096</v>
      </c>
      <c r="J246" s="37">
        <f t="shared" si="74"/>
        <v>80.09</v>
      </c>
      <c r="K246" s="35">
        <f t="shared" si="75"/>
        <v>189.81330000000003</v>
      </c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</row>
    <row r="247" spans="1:60" s="117" customFormat="1" ht="20.25">
      <c r="A247" s="46" t="s">
        <v>408</v>
      </c>
      <c r="B247" s="46" t="s">
        <v>41</v>
      </c>
      <c r="C247" s="46">
        <v>102719</v>
      </c>
      <c r="D247" s="47" t="s">
        <v>409</v>
      </c>
      <c r="E247" s="46" t="s">
        <v>70</v>
      </c>
      <c r="F247" s="46">
        <v>50.4</v>
      </c>
      <c r="G247" s="48">
        <v>119.19</v>
      </c>
      <c r="H247" s="49">
        <v>1.2223</v>
      </c>
      <c r="I247" s="48">
        <f t="shared" si="73"/>
        <v>145.685937</v>
      </c>
      <c r="J247" s="50">
        <f t="shared" si="74"/>
        <v>145.69</v>
      </c>
      <c r="K247" s="48">
        <f t="shared" si="75"/>
        <v>7342.776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</row>
    <row r="248" spans="1:11" ht="24.75">
      <c r="A248" s="51" t="s">
        <v>410</v>
      </c>
      <c r="B248" s="51" t="s">
        <v>41</v>
      </c>
      <c r="C248" s="51">
        <v>102712</v>
      </c>
      <c r="D248" s="52" t="s">
        <v>411</v>
      </c>
      <c r="E248" s="51" t="s">
        <v>23</v>
      </c>
      <c r="F248" s="51">
        <v>504</v>
      </c>
      <c r="G248" s="53">
        <v>9.93</v>
      </c>
      <c r="H248" s="54">
        <v>1.2223</v>
      </c>
      <c r="I248" s="53">
        <f t="shared" si="73"/>
        <v>12.137438999999999</v>
      </c>
      <c r="J248" s="55">
        <f t="shared" si="74"/>
        <v>12.14</v>
      </c>
      <c r="K248" s="53">
        <f t="shared" si="75"/>
        <v>6118.56</v>
      </c>
    </row>
    <row r="249" spans="1:60" s="117" customFormat="1" ht="20.25">
      <c r="A249" s="99"/>
      <c r="B249" s="99"/>
      <c r="C249" s="99"/>
      <c r="D249" s="100"/>
      <c r="E249" s="99"/>
      <c r="F249" s="99"/>
      <c r="G249" s="118" t="s">
        <v>412</v>
      </c>
      <c r="H249" s="118"/>
      <c r="I249" s="118"/>
      <c r="J249" s="118"/>
      <c r="K249" s="119">
        <f>SUM(K242+K240)</f>
        <v>66329.677</v>
      </c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</row>
    <row r="250" spans="1:11" ht="20.25">
      <c r="A250" s="105"/>
      <c r="B250" s="105"/>
      <c r="C250" s="105"/>
      <c r="D250" s="105"/>
      <c r="E250" s="105"/>
      <c r="F250" s="105"/>
      <c r="G250" s="120" t="s">
        <v>413</v>
      </c>
      <c r="H250" s="120"/>
      <c r="I250" s="120"/>
      <c r="J250" s="120"/>
      <c r="K250" s="121">
        <f>SUM(K249+K236)</f>
        <v>3158239.7756400006</v>
      </c>
    </row>
    <row r="251" spans="1:11" ht="14.25" customHeight="1">
      <c r="A251" s="122"/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</row>
    <row r="252" spans="1:11" ht="14.25" customHeight="1">
      <c r="A252" s="123" t="s">
        <v>414</v>
      </c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</row>
    <row r="253" spans="1:11" ht="48.75" customHeight="1">
      <c r="A253" s="124" t="s">
        <v>415</v>
      </c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</row>
  </sheetData>
  <sheetProtection selectLockedCells="1" selectUnlockedCells="1"/>
  <mergeCells count="68">
    <mergeCell ref="A1:K1"/>
    <mergeCell ref="A2:K2"/>
    <mergeCell ref="A3:K3"/>
    <mergeCell ref="A4:K4"/>
    <mergeCell ref="A5:G5"/>
    <mergeCell ref="A6:K6"/>
    <mergeCell ref="B8:J8"/>
    <mergeCell ref="A10:K10"/>
    <mergeCell ref="B11:J11"/>
    <mergeCell ref="A15:K15"/>
    <mergeCell ref="B16:J16"/>
    <mergeCell ref="B17:J17"/>
    <mergeCell ref="B24:J24"/>
    <mergeCell ref="B35:J35"/>
    <mergeCell ref="B39:J39"/>
    <mergeCell ref="B46:J46"/>
    <mergeCell ref="A51:K51"/>
    <mergeCell ref="B52:J52"/>
    <mergeCell ref="A57:K57"/>
    <mergeCell ref="B58:J58"/>
    <mergeCell ref="A71:K71"/>
    <mergeCell ref="B72:J72"/>
    <mergeCell ref="A74:K74"/>
    <mergeCell ref="B75:J75"/>
    <mergeCell ref="B76:J76"/>
    <mergeCell ref="B80:J80"/>
    <mergeCell ref="A91:K91"/>
    <mergeCell ref="B92:J92"/>
    <mergeCell ref="B93:J93"/>
    <mergeCell ref="B100:J100"/>
    <mergeCell ref="B102:J102"/>
    <mergeCell ref="A108:K108"/>
    <mergeCell ref="B109:J109"/>
    <mergeCell ref="B110:J110"/>
    <mergeCell ref="B120:J120"/>
    <mergeCell ref="A131:K131"/>
    <mergeCell ref="B132:J132"/>
    <mergeCell ref="A139:K139"/>
    <mergeCell ref="B140:J140"/>
    <mergeCell ref="A142:K142"/>
    <mergeCell ref="B143:J143"/>
    <mergeCell ref="A148:K148"/>
    <mergeCell ref="B149:J149"/>
    <mergeCell ref="A153:K153"/>
    <mergeCell ref="B154:J154"/>
    <mergeCell ref="A159:K159"/>
    <mergeCell ref="B160:J160"/>
    <mergeCell ref="A162:K162"/>
    <mergeCell ref="B163:J163"/>
    <mergeCell ref="A167:K167"/>
    <mergeCell ref="B168:J168"/>
    <mergeCell ref="A183:K183"/>
    <mergeCell ref="B184:J184"/>
    <mergeCell ref="A189:K189"/>
    <mergeCell ref="B190:J190"/>
    <mergeCell ref="A197:K197"/>
    <mergeCell ref="B198:J198"/>
    <mergeCell ref="A222:K222"/>
    <mergeCell ref="B223:J223"/>
    <mergeCell ref="G236:J236"/>
    <mergeCell ref="A238:K238"/>
    <mergeCell ref="B240:J240"/>
    <mergeCell ref="B242:J242"/>
    <mergeCell ref="G249:J249"/>
    <mergeCell ref="G250:J250"/>
    <mergeCell ref="A251:K251"/>
    <mergeCell ref="A252:K252"/>
    <mergeCell ref="A253:K253"/>
  </mergeCells>
  <printOptions/>
  <pageMargins left="0.39375" right="0.39375" top="0.39375" bottom="0.39375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Normal="120" zoomScaleSheetLayoutView="110" workbookViewId="0" topLeftCell="A46">
      <selection activeCell="D57" sqref="D57"/>
    </sheetView>
  </sheetViews>
  <sheetFormatPr defaultColWidth="9.140625" defaultRowHeight="15"/>
  <cols>
    <col min="1" max="1" width="5.8515625" style="125" customWidth="1"/>
    <col min="2" max="2" width="44.57421875" style="126" customWidth="1"/>
    <col min="3" max="3" width="4.57421875" style="125" customWidth="1"/>
    <col min="4" max="9" width="12.00390625" style="125" customWidth="1"/>
    <col min="10" max="10" width="14.00390625" style="125" customWidth="1"/>
    <col min="11" max="11" width="11.28125" style="125" customWidth="1"/>
    <col min="12" max="16384" width="11.28125" style="0" customWidth="1"/>
  </cols>
  <sheetData>
    <row r="1" spans="1:10" ht="7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1">
      <c r="A2" s="127" t="s">
        <v>416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8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6.5">
      <c r="A4" s="129" t="s">
        <v>7</v>
      </c>
      <c r="B4" s="130" t="s">
        <v>417</v>
      </c>
      <c r="C4" s="129" t="s">
        <v>11</v>
      </c>
      <c r="D4" s="129" t="s">
        <v>418</v>
      </c>
      <c r="E4" s="129" t="s">
        <v>419</v>
      </c>
      <c r="F4" s="129" t="s">
        <v>420</v>
      </c>
      <c r="G4" s="129" t="s">
        <v>421</v>
      </c>
      <c r="H4" s="129" t="s">
        <v>422</v>
      </c>
      <c r="I4" s="129" t="s">
        <v>423</v>
      </c>
      <c r="J4" s="129" t="s">
        <v>17</v>
      </c>
    </row>
    <row r="5" spans="1:11" ht="16.5">
      <c r="A5" s="131" t="s">
        <v>6</v>
      </c>
      <c r="B5" s="131"/>
      <c r="C5" s="131"/>
      <c r="D5" s="131"/>
      <c r="E5" s="131"/>
      <c r="F5" s="131"/>
      <c r="G5" s="131"/>
      <c r="H5" s="131"/>
      <c r="I5" s="131"/>
      <c r="J5" s="131"/>
      <c r="K5"/>
    </row>
    <row r="6" spans="1:10" ht="15" customHeight="1">
      <c r="A6" s="132" t="s">
        <v>18</v>
      </c>
      <c r="B6" s="133">
        <f>PO!B8</f>
        <v>0</v>
      </c>
      <c r="C6" s="134" t="s">
        <v>424</v>
      </c>
      <c r="D6" s="135">
        <v>1</v>
      </c>
      <c r="E6" s="136"/>
      <c r="F6" s="136"/>
      <c r="G6" s="136"/>
      <c r="H6" s="136"/>
      <c r="I6" s="136"/>
      <c r="J6" s="137">
        <f>PO!K8</f>
        <v>1527.8999999999999</v>
      </c>
    </row>
    <row r="7" spans="1:10" ht="15" customHeight="1">
      <c r="A7" s="132"/>
      <c r="B7" s="133"/>
      <c r="C7" s="134" t="s">
        <v>425</v>
      </c>
      <c r="D7" s="138">
        <f>J6</f>
        <v>1527.8999999999999</v>
      </c>
      <c r="E7" s="138"/>
      <c r="F7" s="138"/>
      <c r="G7" s="138"/>
      <c r="H7" s="138"/>
      <c r="I7" s="138"/>
      <c r="J7" s="137"/>
    </row>
    <row r="8" spans="1:10" ht="15" customHeight="1">
      <c r="A8" s="139" t="s">
        <v>401</v>
      </c>
      <c r="B8" s="140">
        <f>PO!B11</f>
        <v>0</v>
      </c>
      <c r="C8" s="141" t="s">
        <v>424</v>
      </c>
      <c r="D8" s="142">
        <v>0.6</v>
      </c>
      <c r="E8" s="143">
        <v>0.4</v>
      </c>
      <c r="F8" s="143"/>
      <c r="G8" s="143"/>
      <c r="H8" s="143"/>
      <c r="I8" s="143"/>
      <c r="J8" s="144">
        <f>PO!K11</f>
        <v>54814.74</v>
      </c>
    </row>
    <row r="9" spans="1:10" ht="15" customHeight="1">
      <c r="A9" s="139"/>
      <c r="B9" s="140"/>
      <c r="C9" s="141" t="s">
        <v>425</v>
      </c>
      <c r="D9" s="145">
        <f>J8*D8</f>
        <v>32888.844</v>
      </c>
      <c r="E9" s="145">
        <f>J8*E8</f>
        <v>21925.896</v>
      </c>
      <c r="F9" s="145"/>
      <c r="G9" s="145"/>
      <c r="H9" s="145"/>
      <c r="I9" s="145"/>
      <c r="J9" s="144"/>
    </row>
    <row r="10" spans="1:10" ht="15" customHeight="1">
      <c r="A10" s="132" t="s">
        <v>426</v>
      </c>
      <c r="B10" s="133">
        <f>PO!B16</f>
        <v>0</v>
      </c>
      <c r="C10" s="134" t="s">
        <v>424</v>
      </c>
      <c r="D10" s="135">
        <f>D11/J10</f>
        <v>0.53568253369304</v>
      </c>
      <c r="E10" s="136">
        <f>E11/J10</f>
        <v>0.39810833012418434</v>
      </c>
      <c r="F10" s="136"/>
      <c r="G10" s="136">
        <f>J10/G11</f>
        <v>15.103655743814866</v>
      </c>
      <c r="H10" s="136"/>
      <c r="I10" s="136"/>
      <c r="J10" s="137">
        <f>PO!K16</f>
        <v>703663.1904000001</v>
      </c>
    </row>
    <row r="11" spans="1:10" ht="15" customHeight="1">
      <c r="A11" s="132"/>
      <c r="B11" s="133"/>
      <c r="C11" s="134" t="s">
        <v>425</v>
      </c>
      <c r="D11" s="138">
        <f>PO!K17+PO!K24</f>
        <v>376940.08070000005</v>
      </c>
      <c r="E11" s="138">
        <f>PO!K39+PO!K46</f>
        <v>280134.1777</v>
      </c>
      <c r="F11" s="138"/>
      <c r="G11" s="138">
        <f>PO!K35</f>
        <v>46588.93199999999</v>
      </c>
      <c r="H11" s="138"/>
      <c r="I11" s="138"/>
      <c r="J11" s="137"/>
    </row>
    <row r="12" spans="1:10" ht="15" customHeight="1">
      <c r="A12" s="139" t="s">
        <v>427</v>
      </c>
      <c r="B12" s="140">
        <f>PO!B52</f>
        <v>0</v>
      </c>
      <c r="C12" s="141" t="s">
        <v>424</v>
      </c>
      <c r="D12" s="142"/>
      <c r="E12" s="143"/>
      <c r="F12" s="143">
        <f>J12/F13</f>
        <v>1</v>
      </c>
      <c r="G12" s="143"/>
      <c r="H12" s="143"/>
      <c r="I12" s="143"/>
      <c r="J12" s="144">
        <f>PO!K52</f>
        <v>220562.9013</v>
      </c>
    </row>
    <row r="13" spans="1:10" ht="15" customHeight="1">
      <c r="A13" s="139"/>
      <c r="B13" s="140"/>
      <c r="C13" s="141" t="s">
        <v>425</v>
      </c>
      <c r="D13" s="145"/>
      <c r="E13" s="145"/>
      <c r="F13" s="145">
        <f>PO!K52</f>
        <v>220562.9013</v>
      </c>
      <c r="G13" s="145"/>
      <c r="H13" s="145"/>
      <c r="I13" s="145"/>
      <c r="J13" s="144"/>
    </row>
    <row r="14" spans="1:10" ht="15" customHeight="1">
      <c r="A14" s="132" t="s">
        <v>428</v>
      </c>
      <c r="B14" s="133">
        <f>PO!B58</f>
        <v>0</v>
      </c>
      <c r="C14" s="134" t="s">
        <v>424</v>
      </c>
      <c r="D14" s="135"/>
      <c r="E14" s="136"/>
      <c r="F14" s="136">
        <f>J14/F15</f>
        <v>1</v>
      </c>
      <c r="G14" s="136"/>
      <c r="H14" s="136"/>
      <c r="I14" s="136"/>
      <c r="J14" s="137">
        <f>PO!K58</f>
        <v>60138.95940000001</v>
      </c>
    </row>
    <row r="15" spans="1:10" ht="15" customHeight="1">
      <c r="A15" s="132"/>
      <c r="B15" s="133"/>
      <c r="C15" s="134" t="s">
        <v>425</v>
      </c>
      <c r="D15" s="138"/>
      <c r="E15" s="138"/>
      <c r="F15" s="138">
        <f>PO!K58</f>
        <v>60138.95940000001</v>
      </c>
      <c r="G15" s="138"/>
      <c r="H15" s="138"/>
      <c r="I15" s="138"/>
      <c r="J15" s="137"/>
    </row>
    <row r="16" spans="1:10" ht="15" customHeight="1">
      <c r="A16" s="139" t="s">
        <v>429</v>
      </c>
      <c r="B16" s="140">
        <f>PO!B72</f>
        <v>0</v>
      </c>
      <c r="C16" s="141" t="s">
        <v>424</v>
      </c>
      <c r="D16" s="142"/>
      <c r="E16" s="143"/>
      <c r="F16" s="143"/>
      <c r="G16" s="143"/>
      <c r="H16" s="143">
        <f>H17/J16</f>
        <v>1</v>
      </c>
      <c r="I16" s="143"/>
      <c r="J16" s="144">
        <f>PO!K72</f>
        <v>106769.24799999999</v>
      </c>
    </row>
    <row r="17" spans="1:10" ht="15" customHeight="1">
      <c r="A17" s="139"/>
      <c r="B17" s="140"/>
      <c r="C17" s="141" t="s">
        <v>425</v>
      </c>
      <c r="D17" s="145"/>
      <c r="E17" s="145"/>
      <c r="F17" s="145"/>
      <c r="G17" s="145"/>
      <c r="H17" s="145">
        <f>PO!K72</f>
        <v>106769.24799999999</v>
      </c>
      <c r="I17" s="145"/>
      <c r="J17" s="144"/>
    </row>
    <row r="18" spans="1:10" ht="15" customHeight="1">
      <c r="A18" s="132" t="s">
        <v>430</v>
      </c>
      <c r="B18" s="133">
        <f>PO!B75</f>
        <v>0</v>
      </c>
      <c r="C18" s="134" t="s">
        <v>424</v>
      </c>
      <c r="D18" s="135"/>
      <c r="E18" s="136"/>
      <c r="F18" s="136"/>
      <c r="G18" s="136"/>
      <c r="H18" s="136"/>
      <c r="I18" s="136">
        <f>I19/J18</f>
        <v>1</v>
      </c>
      <c r="J18" s="137">
        <f>PO!K75</f>
        <v>229381.1856</v>
      </c>
    </row>
    <row r="19" spans="1:10" ht="15" customHeight="1">
      <c r="A19" s="132"/>
      <c r="B19" s="133"/>
      <c r="C19" s="134" t="s">
        <v>425</v>
      </c>
      <c r="D19" s="138"/>
      <c r="E19" s="138"/>
      <c r="F19" s="138"/>
      <c r="G19" s="138"/>
      <c r="H19" s="138"/>
      <c r="I19" s="138">
        <f>PO!K75</f>
        <v>229381.1856</v>
      </c>
      <c r="J19" s="137"/>
    </row>
    <row r="20" spans="1:10" ht="15" customHeight="1">
      <c r="A20" s="146" t="s">
        <v>431</v>
      </c>
      <c r="B20" s="147">
        <f>PO!B92</f>
        <v>0</v>
      </c>
      <c r="C20" s="148" t="s">
        <v>424</v>
      </c>
      <c r="D20" s="149"/>
      <c r="E20" s="150"/>
      <c r="F20" s="150">
        <f>F21/J20</f>
        <v>0.9844534654732666</v>
      </c>
      <c r="G20" s="150"/>
      <c r="H20" s="150">
        <f>H21/J20</f>
        <v>0.015546534526733392</v>
      </c>
      <c r="I20" s="150"/>
      <c r="J20" s="151">
        <f>PO!K92</f>
        <v>242415.4395</v>
      </c>
    </row>
    <row r="21" spans="1:10" ht="15" customHeight="1">
      <c r="A21" s="146"/>
      <c r="B21" s="147"/>
      <c r="C21" s="148" t="s">
        <v>425</v>
      </c>
      <c r="D21" s="152"/>
      <c r="E21" s="152"/>
      <c r="F21" s="152">
        <f>PO!K93+PO!K102</f>
        <v>238646.7195</v>
      </c>
      <c r="G21" s="152"/>
      <c r="H21" s="152">
        <f>PO!K100</f>
        <v>3768.72</v>
      </c>
      <c r="I21" s="152"/>
      <c r="J21" s="151"/>
    </row>
    <row r="22" spans="1:10" ht="15" customHeight="1">
      <c r="A22" s="132" t="s">
        <v>432</v>
      </c>
      <c r="B22" s="133">
        <f>PO!B109</f>
        <v>0</v>
      </c>
      <c r="C22" s="134" t="s">
        <v>424</v>
      </c>
      <c r="D22" s="135"/>
      <c r="E22" s="136">
        <f>E23/J22</f>
        <v>1</v>
      </c>
      <c r="F22" s="136"/>
      <c r="G22" s="136"/>
      <c r="H22" s="136"/>
      <c r="I22" s="136"/>
      <c r="J22" s="137">
        <f>PO!K109</f>
        <v>73637.7568</v>
      </c>
    </row>
    <row r="23" spans="1:10" ht="15" customHeight="1">
      <c r="A23" s="132"/>
      <c r="B23" s="133"/>
      <c r="C23" s="134" t="s">
        <v>425</v>
      </c>
      <c r="D23" s="138"/>
      <c r="E23" s="138">
        <f>PO!K109</f>
        <v>73637.7568</v>
      </c>
      <c r="F23" s="138"/>
      <c r="G23" s="138"/>
      <c r="H23" s="138"/>
      <c r="I23" s="138"/>
      <c r="J23" s="137"/>
    </row>
    <row r="24" spans="1:10" ht="15" customHeight="1">
      <c r="A24" s="146" t="s">
        <v>433</v>
      </c>
      <c r="B24" s="147">
        <f>PO!B132</f>
        <v>0</v>
      </c>
      <c r="C24" s="148" t="s">
        <v>424</v>
      </c>
      <c r="D24" s="149"/>
      <c r="E24" s="150"/>
      <c r="F24" s="150"/>
      <c r="G24" s="150"/>
      <c r="H24" s="150">
        <f>H25/J24</f>
        <v>1</v>
      </c>
      <c r="I24" s="150"/>
      <c r="J24" s="151">
        <f>PO!K132</f>
        <v>38351.5355</v>
      </c>
    </row>
    <row r="25" spans="1:10" ht="15" customHeight="1">
      <c r="A25" s="146"/>
      <c r="B25" s="147"/>
      <c r="C25" s="148" t="s">
        <v>425</v>
      </c>
      <c r="D25" s="152"/>
      <c r="E25" s="152"/>
      <c r="F25" s="152"/>
      <c r="G25" s="152"/>
      <c r="H25" s="152">
        <f>PO!K132</f>
        <v>38351.5355</v>
      </c>
      <c r="I25" s="152"/>
      <c r="J25" s="151"/>
    </row>
    <row r="26" spans="1:10" ht="15" customHeight="1">
      <c r="A26" s="132" t="s">
        <v>434</v>
      </c>
      <c r="B26" s="133">
        <f>PO!B140</f>
        <v>0</v>
      </c>
      <c r="C26" s="134" t="s">
        <v>424</v>
      </c>
      <c r="D26" s="135"/>
      <c r="E26" s="136"/>
      <c r="F26" s="136"/>
      <c r="G26" s="136"/>
      <c r="H26" s="136">
        <f>H27/J26</f>
        <v>1</v>
      </c>
      <c r="I26" s="136"/>
      <c r="J26" s="137">
        <f>PO!K140</f>
        <v>46366.4362</v>
      </c>
    </row>
    <row r="27" spans="1:10" ht="15" customHeight="1">
      <c r="A27" s="132"/>
      <c r="B27" s="133"/>
      <c r="C27" s="134" t="s">
        <v>425</v>
      </c>
      <c r="D27" s="138"/>
      <c r="E27" s="138"/>
      <c r="F27" s="138"/>
      <c r="G27" s="138"/>
      <c r="H27" s="138">
        <f>PO!K140</f>
        <v>46366.4362</v>
      </c>
      <c r="I27" s="138"/>
      <c r="J27" s="137"/>
    </row>
    <row r="28" spans="1:10" ht="15" customHeight="1">
      <c r="A28" s="146" t="s">
        <v>435</v>
      </c>
      <c r="B28" s="147">
        <f>PO!B143</f>
        <v>0</v>
      </c>
      <c r="C28" s="148" t="s">
        <v>424</v>
      </c>
      <c r="D28" s="149"/>
      <c r="E28" s="150"/>
      <c r="F28" s="150"/>
      <c r="G28" s="150">
        <f>G29/J28</f>
        <v>1</v>
      </c>
      <c r="H28" s="150"/>
      <c r="I28" s="150"/>
      <c r="J28" s="151">
        <f>PO!K143</f>
        <v>4051.5024</v>
      </c>
    </row>
    <row r="29" spans="1:10" ht="15" customHeight="1">
      <c r="A29" s="146"/>
      <c r="B29" s="147"/>
      <c r="C29" s="148" t="s">
        <v>425</v>
      </c>
      <c r="D29" s="152"/>
      <c r="E29" s="152"/>
      <c r="F29" s="152"/>
      <c r="G29" s="152">
        <f>PO!K143</f>
        <v>4051.5024</v>
      </c>
      <c r="H29" s="152"/>
      <c r="I29" s="152"/>
      <c r="J29" s="151"/>
    </row>
    <row r="30" spans="1:10" ht="15" customHeight="1">
      <c r="A30" s="132" t="s">
        <v>436</v>
      </c>
      <c r="B30" s="133">
        <f>PO!B149</f>
        <v>0</v>
      </c>
      <c r="C30" s="134" t="s">
        <v>424</v>
      </c>
      <c r="D30" s="135"/>
      <c r="E30" s="136"/>
      <c r="F30" s="136"/>
      <c r="G30" s="136"/>
      <c r="H30" s="136">
        <f>H31/J30</f>
        <v>0.08084477262344854</v>
      </c>
      <c r="I30" s="136">
        <f>I31/J30</f>
        <v>0.9191552273765514</v>
      </c>
      <c r="J30" s="137">
        <f>PO!K149</f>
        <v>312720.527</v>
      </c>
    </row>
    <row r="31" spans="1:10" ht="15" customHeight="1">
      <c r="A31" s="132"/>
      <c r="B31" s="133"/>
      <c r="C31" s="134" t="s">
        <v>425</v>
      </c>
      <c r="D31" s="138"/>
      <c r="E31" s="138"/>
      <c r="F31" s="138"/>
      <c r="G31" s="138"/>
      <c r="H31" s="138">
        <f>PO!K150</f>
        <v>25281.8199</v>
      </c>
      <c r="I31" s="138">
        <f>PO!K152+PO!K151</f>
        <v>287438.7071</v>
      </c>
      <c r="J31" s="137"/>
    </row>
    <row r="32" spans="1:10" ht="15" customHeight="1">
      <c r="A32" s="146" t="s">
        <v>437</v>
      </c>
      <c r="B32" s="147">
        <f>PO!B154</f>
        <v>0</v>
      </c>
      <c r="C32" s="148" t="s">
        <v>424</v>
      </c>
      <c r="D32" s="149"/>
      <c r="E32" s="150"/>
      <c r="F32" s="150"/>
      <c r="G32" s="150"/>
      <c r="H32" s="150">
        <f>H33/J32</f>
        <v>1</v>
      </c>
      <c r="I32" s="150"/>
      <c r="J32" s="151">
        <f>PO!K154</f>
        <v>33557.328</v>
      </c>
    </row>
    <row r="33" spans="1:10" ht="15" customHeight="1">
      <c r="A33" s="146"/>
      <c r="B33" s="147"/>
      <c r="C33" s="148" t="s">
        <v>425</v>
      </c>
      <c r="D33" s="152"/>
      <c r="E33" s="152"/>
      <c r="F33" s="152"/>
      <c r="G33" s="152"/>
      <c r="H33" s="152">
        <f>PO!K154</f>
        <v>33557.328</v>
      </c>
      <c r="I33" s="152"/>
      <c r="J33" s="151"/>
    </row>
    <row r="34" spans="1:10" ht="15" customHeight="1">
      <c r="A34" s="132" t="s">
        <v>438</v>
      </c>
      <c r="B34" s="133">
        <f>PO!B160</f>
        <v>0</v>
      </c>
      <c r="C34" s="134" t="s">
        <v>424</v>
      </c>
      <c r="D34" s="135"/>
      <c r="E34" s="136">
        <f>E35/J34</f>
        <v>0.5</v>
      </c>
      <c r="F34" s="136">
        <f>F35/J34</f>
        <v>0.5</v>
      </c>
      <c r="G34" s="136"/>
      <c r="H34" s="136"/>
      <c r="I34" s="136"/>
      <c r="J34" s="137">
        <f>PO!K160</f>
        <v>291622.4</v>
      </c>
    </row>
    <row r="35" spans="1:10" ht="15" customHeight="1">
      <c r="A35" s="132"/>
      <c r="B35" s="133"/>
      <c r="C35" s="134" t="s">
        <v>425</v>
      </c>
      <c r="D35" s="138"/>
      <c r="E35" s="138">
        <f>J34/2</f>
        <v>145811.2</v>
      </c>
      <c r="F35" s="138">
        <f>J34/2</f>
        <v>145811.2</v>
      </c>
      <c r="G35" s="138"/>
      <c r="H35" s="138"/>
      <c r="I35" s="138"/>
      <c r="J35" s="137"/>
    </row>
    <row r="36" spans="1:10" ht="15" customHeight="1">
      <c r="A36" s="146" t="s">
        <v>439</v>
      </c>
      <c r="B36" s="147">
        <f>PO!B163</f>
        <v>0</v>
      </c>
      <c r="C36" s="148" t="s">
        <v>424</v>
      </c>
      <c r="D36" s="149">
        <f>D37/J36</f>
        <v>1</v>
      </c>
      <c r="E36" s="150"/>
      <c r="F36" s="150"/>
      <c r="G36" s="150"/>
      <c r="H36" s="150"/>
      <c r="I36" s="150"/>
      <c r="J36" s="151">
        <f>PO!K163</f>
        <v>8833.86</v>
      </c>
    </row>
    <row r="37" spans="1:10" ht="15" customHeight="1">
      <c r="A37" s="146"/>
      <c r="B37" s="147"/>
      <c r="C37" s="148" t="s">
        <v>425</v>
      </c>
      <c r="D37" s="152">
        <f>J36</f>
        <v>8833.86</v>
      </c>
      <c r="E37" s="152"/>
      <c r="F37" s="152"/>
      <c r="G37" s="152"/>
      <c r="H37" s="152"/>
      <c r="I37" s="152"/>
      <c r="J37" s="151"/>
    </row>
    <row r="38" spans="1:10" ht="15" customHeight="1">
      <c r="A38" s="132" t="s">
        <v>440</v>
      </c>
      <c r="B38" s="133">
        <f>PO!B168</f>
        <v>0</v>
      </c>
      <c r="C38" s="134" t="s">
        <v>424</v>
      </c>
      <c r="D38" s="135"/>
      <c r="E38" s="136"/>
      <c r="F38" s="136"/>
      <c r="G38" s="136"/>
      <c r="H38" s="136">
        <f>H39/J38</f>
        <v>1</v>
      </c>
      <c r="I38" s="136"/>
      <c r="J38" s="137">
        <f>PO!K168</f>
        <v>95238.1268</v>
      </c>
    </row>
    <row r="39" spans="1:10" ht="15" customHeight="1">
      <c r="A39" s="132"/>
      <c r="B39" s="133"/>
      <c r="C39" s="134" t="s">
        <v>425</v>
      </c>
      <c r="D39" s="138"/>
      <c r="E39" s="138"/>
      <c r="F39" s="138"/>
      <c r="G39" s="138"/>
      <c r="H39" s="138">
        <f>PO!K168</f>
        <v>95238.1268</v>
      </c>
      <c r="I39" s="138"/>
      <c r="J39" s="137"/>
    </row>
    <row r="40" spans="1:10" ht="15" customHeight="1">
      <c r="A40" s="146" t="s">
        <v>441</v>
      </c>
      <c r="B40" s="147">
        <f>PO!B184</f>
        <v>0</v>
      </c>
      <c r="C40" s="148" t="s">
        <v>424</v>
      </c>
      <c r="D40" s="149"/>
      <c r="E40" s="150"/>
      <c r="F40" s="150"/>
      <c r="G40" s="150">
        <f>G41/J40</f>
        <v>0.817751385380434</v>
      </c>
      <c r="H40" s="150"/>
      <c r="I40" s="150">
        <f>I41/J40</f>
        <v>0.18224861461956593</v>
      </c>
      <c r="J40" s="151">
        <f>PO!K184</f>
        <v>167629.587</v>
      </c>
    </row>
    <row r="41" spans="1:10" ht="15" customHeight="1">
      <c r="A41" s="146"/>
      <c r="B41" s="147"/>
      <c r="C41" s="148" t="s">
        <v>425</v>
      </c>
      <c r="D41" s="152"/>
      <c r="E41" s="152"/>
      <c r="F41" s="152"/>
      <c r="G41" s="152">
        <f>PO!K185+PO!K186+PO!K187</f>
        <v>137079.327</v>
      </c>
      <c r="H41" s="152"/>
      <c r="I41" s="152">
        <f>PO!K188</f>
        <v>30550.26</v>
      </c>
      <c r="J41" s="151"/>
    </row>
    <row r="42" spans="1:10" ht="15" customHeight="1">
      <c r="A42" s="132" t="s">
        <v>442</v>
      </c>
      <c r="B42" s="133">
        <f>PO!B190</f>
        <v>0</v>
      </c>
      <c r="C42" s="134" t="s">
        <v>424</v>
      </c>
      <c r="D42" s="135"/>
      <c r="E42" s="136"/>
      <c r="F42" s="136">
        <f>F43/J42</f>
        <v>0.2520304617961553</v>
      </c>
      <c r="G42" s="136">
        <f>G43/J42</f>
        <v>0.6909088548260393</v>
      </c>
      <c r="H42" s="136"/>
      <c r="I42" s="136"/>
      <c r="J42" s="137">
        <f>PO!K190</f>
        <v>221410.52634</v>
      </c>
    </row>
    <row r="43" spans="1:10" ht="15" customHeight="1">
      <c r="A43" s="132"/>
      <c r="B43" s="133"/>
      <c r="C43" s="134" t="s">
        <v>425</v>
      </c>
      <c r="D43" s="138"/>
      <c r="E43" s="138"/>
      <c r="F43" s="138">
        <f>PO!K191+PO!K192</f>
        <v>55802.1972</v>
      </c>
      <c r="G43" s="138">
        <f>PO!K195+PO!K196</f>
        <v>152974.4932</v>
      </c>
      <c r="H43" s="138"/>
      <c r="I43" s="138"/>
      <c r="J43" s="137"/>
    </row>
    <row r="44" spans="1:10" ht="15" customHeight="1">
      <c r="A44" s="146" t="s">
        <v>443</v>
      </c>
      <c r="B44" s="147">
        <f>PO!B198</f>
        <v>0</v>
      </c>
      <c r="C44" s="148" t="s">
        <v>424</v>
      </c>
      <c r="D44" s="149"/>
      <c r="E44" s="150"/>
      <c r="F44" s="150"/>
      <c r="G44" s="150"/>
      <c r="H44" s="150">
        <f>H45/J44</f>
        <v>0.6253613887483677</v>
      </c>
      <c r="I44" s="150">
        <f>I45/J44</f>
        <v>0.37463861125163234</v>
      </c>
      <c r="J44" s="151">
        <f>PO!K198</f>
        <v>110755.1084</v>
      </c>
    </row>
    <row r="45" spans="1:10" ht="15" customHeight="1">
      <c r="A45" s="146"/>
      <c r="B45" s="147"/>
      <c r="C45" s="148" t="s">
        <v>425</v>
      </c>
      <c r="D45" s="152"/>
      <c r="E45" s="152"/>
      <c r="F45" s="152"/>
      <c r="G45" s="152"/>
      <c r="H45" s="152">
        <f>SUM(PO!K199:K211)</f>
        <v>69261.9684</v>
      </c>
      <c r="I45" s="152">
        <f>SUM(PO!K212:K221)</f>
        <v>41493.14</v>
      </c>
      <c r="J45" s="151"/>
    </row>
    <row r="46" spans="1:10" ht="15" customHeight="1">
      <c r="A46" s="132" t="s">
        <v>444</v>
      </c>
      <c r="B46" s="133">
        <f>PO!B223</f>
        <v>0</v>
      </c>
      <c r="C46" s="134" t="s">
        <v>424</v>
      </c>
      <c r="D46" s="135"/>
      <c r="E46" s="136"/>
      <c r="F46" s="136">
        <f>F47/J46</f>
        <v>0.21109745224492946</v>
      </c>
      <c r="G46" s="136">
        <f>G47/J46</f>
        <v>0.7889025477550706</v>
      </c>
      <c r="H46" s="136"/>
      <c r="I46" s="136"/>
      <c r="J46" s="137">
        <f>PO!K223</f>
        <v>68461.84</v>
      </c>
    </row>
    <row r="47" spans="1:10" ht="15" customHeight="1">
      <c r="A47" s="132"/>
      <c r="B47" s="133"/>
      <c r="C47" s="134" t="s">
        <v>425</v>
      </c>
      <c r="D47" s="138"/>
      <c r="E47" s="138"/>
      <c r="F47" s="138">
        <f>SUM(PO!K224:K228)</f>
        <v>14452.12</v>
      </c>
      <c r="G47" s="138">
        <f>SUM(PO!K229:K235)</f>
        <v>54009.72</v>
      </c>
      <c r="H47" s="138"/>
      <c r="I47" s="138"/>
      <c r="J47" s="137"/>
    </row>
    <row r="48" spans="1:10" ht="12.7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</row>
    <row r="49" spans="1:11" ht="16.5">
      <c r="A49" s="154" t="s">
        <v>399</v>
      </c>
      <c r="B49" s="154"/>
      <c r="C49" s="154"/>
      <c r="D49" s="154"/>
      <c r="E49" s="154"/>
      <c r="F49" s="154"/>
      <c r="G49" s="154"/>
      <c r="H49" s="154"/>
      <c r="I49" s="154"/>
      <c r="J49" s="154"/>
      <c r="K49"/>
    </row>
    <row r="50" spans="1:10" ht="16.5" customHeight="1">
      <c r="A50" s="132" t="s">
        <v>18</v>
      </c>
      <c r="B50" s="133" t="s">
        <v>240</v>
      </c>
      <c r="C50" s="134" t="s">
        <v>424</v>
      </c>
      <c r="D50" s="135"/>
      <c r="E50" s="136"/>
      <c r="F50" s="136"/>
      <c r="G50" s="136">
        <v>1</v>
      </c>
      <c r="H50" s="136"/>
      <c r="I50" s="136"/>
      <c r="J50" s="137">
        <f>PO!K241</f>
        <v>9729.126400000001</v>
      </c>
    </row>
    <row r="51" spans="1:10" ht="16.5" customHeight="1">
      <c r="A51" s="132"/>
      <c r="B51" s="133"/>
      <c r="C51" s="134" t="s">
        <v>425</v>
      </c>
      <c r="D51" s="138"/>
      <c r="E51" s="138"/>
      <c r="F51" s="138"/>
      <c r="G51" s="138">
        <f>SUM(J50)</f>
        <v>9729.126400000001</v>
      </c>
      <c r="H51" s="138"/>
      <c r="I51" s="138"/>
      <c r="J51" s="137"/>
    </row>
    <row r="52" spans="1:10" ht="16.5" customHeight="1">
      <c r="A52" s="146" t="s">
        <v>401</v>
      </c>
      <c r="B52" s="147" t="s">
        <v>402</v>
      </c>
      <c r="C52" s="148" t="s">
        <v>424</v>
      </c>
      <c r="D52" s="149"/>
      <c r="E52" s="150"/>
      <c r="F52" s="150">
        <f>F53/J52</f>
        <v>0.5</v>
      </c>
      <c r="G52" s="150">
        <f>G53/J52</f>
        <v>0.5</v>
      </c>
      <c r="H52" s="150"/>
      <c r="I52" s="150"/>
      <c r="J52" s="151">
        <f>PO!K242</f>
        <v>56600.5506</v>
      </c>
    </row>
    <row r="53" spans="1:10" ht="16.5" customHeight="1">
      <c r="A53" s="146"/>
      <c r="B53" s="147"/>
      <c r="C53" s="148" t="s">
        <v>425</v>
      </c>
      <c r="D53" s="152"/>
      <c r="E53" s="152"/>
      <c r="F53" s="152">
        <f>SUM(J52/2)</f>
        <v>28300.2753</v>
      </c>
      <c r="G53" s="152">
        <f>SUM(J52/2)</f>
        <v>28300.2753</v>
      </c>
      <c r="H53" s="152"/>
      <c r="I53" s="152"/>
      <c r="J53" s="151"/>
    </row>
    <row r="54" spans="1:11" s="158" customFormat="1" ht="16.5" customHeight="1">
      <c r="A54" s="155"/>
      <c r="B54" s="156" t="s">
        <v>445</v>
      </c>
      <c r="C54" s="156"/>
      <c r="D54" s="157">
        <f>SUM(D7+D9+D11+D37)</f>
        <v>420190.68470000004</v>
      </c>
      <c r="E54" s="157">
        <f>E9+E11+E23+E35</f>
        <v>521509.03050000005</v>
      </c>
      <c r="F54" s="157">
        <f>F13+F15+F21+F35+F43+F47+F53</f>
        <v>763714.3727000001</v>
      </c>
      <c r="G54" s="157">
        <f>G53+G51+G47+G43+G41+G29+G11</f>
        <v>432733.37629999995</v>
      </c>
      <c r="H54" s="157">
        <f>H45+H39+H33+H31+H27+H25+H21+H17</f>
        <v>418595.18279999995</v>
      </c>
      <c r="I54" s="157">
        <f>I45+I41+I31+I19</f>
        <v>588863.2927</v>
      </c>
      <c r="J54" s="157">
        <f>SUM(J6:J53)</f>
        <v>3158239.77564</v>
      </c>
      <c r="K54" s="155"/>
    </row>
    <row r="55" spans="1:11" s="158" customFormat="1" ht="16.5" customHeight="1" hidden="1">
      <c r="A55" s="155"/>
      <c r="B55" s="159" t="s">
        <v>446</v>
      </c>
      <c r="C55" s="159"/>
      <c r="D55" s="160">
        <f>D54/J54</f>
        <v>0.13304584659499158</v>
      </c>
      <c r="E55" s="160">
        <f>E54/J54</f>
        <v>0.16512648422785414</v>
      </c>
      <c r="F55" s="160">
        <f>F54/J54</f>
        <v>0.24181646326876416</v>
      </c>
      <c r="G55" s="160">
        <f>G54/J54</f>
        <v>0.13701726500873698</v>
      </c>
      <c r="H55" s="160">
        <f>H54/J54</f>
        <v>0.13254065952455238</v>
      </c>
      <c r="I55" s="160">
        <f>I54/J54</f>
        <v>0.18645300374024643</v>
      </c>
      <c r="J55" s="161"/>
      <c r="K55" s="155"/>
    </row>
    <row r="56" spans="2:10" ht="16.5" customHeight="1">
      <c r="B56" s="162" t="s">
        <v>447</v>
      </c>
      <c r="C56" s="162"/>
      <c r="D56" s="163">
        <f>J56/6</f>
        <v>166666.66666666666</v>
      </c>
      <c r="E56" s="163">
        <f>J56/6</f>
        <v>166666.66666666666</v>
      </c>
      <c r="F56" s="163">
        <f>J56/6</f>
        <v>166666.66666666666</v>
      </c>
      <c r="G56" s="163">
        <f>J56/6</f>
        <v>166666.66666666666</v>
      </c>
      <c r="H56" s="163">
        <f>J56/6</f>
        <v>166666.66666666666</v>
      </c>
      <c r="I56" s="163">
        <f>J56/6</f>
        <v>166666.66666666666</v>
      </c>
      <c r="J56" s="163">
        <v>1000000</v>
      </c>
    </row>
    <row r="57" spans="2:10" ht="16.5" customHeight="1">
      <c r="B57" s="156" t="s">
        <v>448</v>
      </c>
      <c r="C57" s="156"/>
      <c r="D57" s="157">
        <f>D54-D56</f>
        <v>253524.01803333338</v>
      </c>
      <c r="E57" s="157">
        <f>E54-E56</f>
        <v>354842.36383333337</v>
      </c>
      <c r="F57" s="157">
        <f>F54-F56</f>
        <v>597047.7060333334</v>
      </c>
      <c r="G57" s="157">
        <f>G54-G56</f>
        <v>266066.70963333326</v>
      </c>
      <c r="H57" s="157">
        <f>H54-H56</f>
        <v>251928.5161333333</v>
      </c>
      <c r="I57" s="157">
        <f>I54-I56</f>
        <v>422196.62603333336</v>
      </c>
      <c r="J57" s="157">
        <f>J54-J56</f>
        <v>2158239.77564</v>
      </c>
    </row>
    <row r="58" ht="16.5">
      <c r="B58" s="164"/>
    </row>
    <row r="59" spans="1:10" ht="16.5">
      <c r="A59" s="165" t="s">
        <v>414</v>
      </c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46.5" customHeight="1">
      <c r="A60" s="124" t="s">
        <v>415</v>
      </c>
      <c r="B60" s="124"/>
      <c r="C60" s="124"/>
      <c r="D60" s="124"/>
      <c r="E60" s="124"/>
      <c r="F60" s="124"/>
      <c r="G60" s="124"/>
      <c r="H60" s="124"/>
      <c r="I60" s="124"/>
      <c r="J60" s="124"/>
    </row>
    <row r="61" spans="1:10" ht="15.75">
      <c r="A61" s="9"/>
      <c r="B61" s="123"/>
      <c r="C61" s="123"/>
      <c r="D61" s="123"/>
      <c r="E61" s="123"/>
      <c r="F61" s="123"/>
      <c r="G61" s="123"/>
      <c r="H61" s="123"/>
      <c r="I61" s="123"/>
      <c r="J61" s="123"/>
    </row>
    <row r="62" spans="1:10" ht="15.75">
      <c r="A62" s="9"/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ht="15.75">
      <c r="A63" s="9"/>
      <c r="B63" s="122"/>
      <c r="C63" s="122"/>
      <c r="D63" s="122"/>
      <c r="E63" s="122"/>
      <c r="F63" s="122"/>
      <c r="G63" s="122"/>
      <c r="H63" s="122"/>
      <c r="I63" s="122"/>
      <c r="J63" s="122"/>
    </row>
  </sheetData>
  <sheetProtection selectLockedCells="1" selectUnlockedCells="1"/>
  <mergeCells count="81">
    <mergeCell ref="A1:J1"/>
    <mergeCell ref="A2:J2"/>
    <mergeCell ref="A3:J3"/>
    <mergeCell ref="A5:J5"/>
    <mergeCell ref="A6:A7"/>
    <mergeCell ref="B6:B7"/>
    <mergeCell ref="J6:J7"/>
    <mergeCell ref="A8:A9"/>
    <mergeCell ref="B8:B9"/>
    <mergeCell ref="J8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0:A21"/>
    <mergeCell ref="B20:B21"/>
    <mergeCell ref="J20:J21"/>
    <mergeCell ref="A22:A23"/>
    <mergeCell ref="B22:B23"/>
    <mergeCell ref="J22:J23"/>
    <mergeCell ref="A24:A25"/>
    <mergeCell ref="B24:B25"/>
    <mergeCell ref="J24:J25"/>
    <mergeCell ref="A26:A27"/>
    <mergeCell ref="B26:B27"/>
    <mergeCell ref="J26:J27"/>
    <mergeCell ref="A28:A29"/>
    <mergeCell ref="B28:B29"/>
    <mergeCell ref="J28:J29"/>
    <mergeCell ref="A30:A31"/>
    <mergeCell ref="B30:B31"/>
    <mergeCell ref="J30:J31"/>
    <mergeCell ref="A32:A33"/>
    <mergeCell ref="B32:B33"/>
    <mergeCell ref="J32:J33"/>
    <mergeCell ref="A34:A35"/>
    <mergeCell ref="B34:B35"/>
    <mergeCell ref="J34:J35"/>
    <mergeCell ref="A36:A37"/>
    <mergeCell ref="B36:B37"/>
    <mergeCell ref="J36:J37"/>
    <mergeCell ref="A38:A39"/>
    <mergeCell ref="B38:B39"/>
    <mergeCell ref="J38:J39"/>
    <mergeCell ref="A40:A41"/>
    <mergeCell ref="B40:B41"/>
    <mergeCell ref="J40:J41"/>
    <mergeCell ref="A42:A43"/>
    <mergeCell ref="B42:B43"/>
    <mergeCell ref="J42:J43"/>
    <mergeCell ref="A44:A45"/>
    <mergeCell ref="B44:B45"/>
    <mergeCell ref="J44:J45"/>
    <mergeCell ref="A46:A47"/>
    <mergeCell ref="B46:B47"/>
    <mergeCell ref="J46:J47"/>
    <mergeCell ref="A48:J48"/>
    <mergeCell ref="A49:J49"/>
    <mergeCell ref="A50:A51"/>
    <mergeCell ref="B50:B51"/>
    <mergeCell ref="J50:J51"/>
    <mergeCell ref="A52:A53"/>
    <mergeCell ref="B52:B53"/>
    <mergeCell ref="J52:J53"/>
    <mergeCell ref="B54:C54"/>
    <mergeCell ref="B55:C55"/>
    <mergeCell ref="B56:C56"/>
    <mergeCell ref="B57:C57"/>
    <mergeCell ref="A59:J59"/>
    <mergeCell ref="A60:J60"/>
  </mergeCells>
  <printOptions/>
  <pageMargins left="0.39375" right="0.39375" top="0.39375" bottom="0.39375" header="0.5118110236220472" footer="0.5118110236220472"/>
  <pageSetup horizontalDpi="300" verticalDpi="300" orientation="landscape" paperSize="9" scale="91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110" zoomScaleNormal="120" zoomScaleSheetLayoutView="110" workbookViewId="0" topLeftCell="A16">
      <selection activeCell="F8" sqref="F8"/>
    </sheetView>
  </sheetViews>
  <sheetFormatPr defaultColWidth="9.140625" defaultRowHeight="15"/>
  <cols>
    <col min="1" max="2" width="11.28125" style="0" customWidth="1"/>
    <col min="3" max="3" width="12.00390625" style="0" customWidth="1"/>
    <col min="4" max="4" width="9.421875" style="0" customWidth="1"/>
    <col min="5" max="5" width="10.57421875" style="0" customWidth="1"/>
    <col min="6" max="6" width="9.140625" style="0" customWidth="1"/>
    <col min="7" max="7" width="10.421875" style="0" customWidth="1"/>
    <col min="8" max="16384" width="11.28125" style="0" customWidth="1"/>
  </cols>
  <sheetData>
    <row r="1" spans="1:8" ht="75.75" customHeight="1">
      <c r="A1" s="166" t="s">
        <v>0</v>
      </c>
      <c r="B1" s="166"/>
      <c r="C1" s="166"/>
      <c r="D1" s="166"/>
      <c r="E1" s="166"/>
      <c r="F1" s="166"/>
      <c r="G1" s="166"/>
      <c r="H1" s="166"/>
    </row>
    <row r="2" spans="1:8" ht="30.75" customHeight="1">
      <c r="A2" s="167" t="s">
        <v>449</v>
      </c>
      <c r="B2" s="167"/>
      <c r="C2" s="167"/>
      <c r="D2" s="167"/>
      <c r="E2" s="167"/>
      <c r="F2" s="167"/>
      <c r="G2" s="167"/>
      <c r="H2" s="167"/>
    </row>
    <row r="3" spans="1:8" ht="15">
      <c r="A3" s="168" t="s">
        <v>450</v>
      </c>
      <c r="B3" s="168"/>
      <c r="C3" s="168"/>
      <c r="D3" s="168"/>
      <c r="E3" s="168"/>
      <c r="F3" s="168"/>
      <c r="G3" s="169" t="s">
        <v>451</v>
      </c>
      <c r="H3" s="169"/>
    </row>
    <row r="4" spans="1:8" ht="13.5" customHeight="1">
      <c r="A4" s="170" t="s">
        <v>452</v>
      </c>
      <c r="B4" s="170"/>
      <c r="C4" s="170"/>
      <c r="D4" s="170"/>
      <c r="E4" s="170"/>
      <c r="F4" s="170"/>
      <c r="G4" s="171" t="s">
        <v>453</v>
      </c>
      <c r="H4" s="171"/>
    </row>
    <row r="5" spans="1:8" ht="15">
      <c r="A5" s="172"/>
      <c r="B5" s="173"/>
      <c r="C5" s="173"/>
      <c r="D5" s="173"/>
      <c r="E5" s="173"/>
      <c r="F5" s="173"/>
      <c r="G5" s="173"/>
      <c r="H5" s="174"/>
    </row>
    <row r="6" spans="1:8" ht="18.75" customHeight="1">
      <c r="A6" s="175" t="s">
        <v>454</v>
      </c>
      <c r="B6" s="175"/>
      <c r="C6" s="175"/>
      <c r="D6" s="175"/>
      <c r="E6" s="175"/>
      <c r="F6" s="175"/>
      <c r="G6" s="176">
        <v>1</v>
      </c>
      <c r="H6" s="176"/>
    </row>
    <row r="7" spans="1:8" ht="14.25" customHeight="1">
      <c r="A7" s="177" t="s">
        <v>455</v>
      </c>
      <c r="B7" s="177"/>
      <c r="C7" s="177"/>
      <c r="D7" s="177"/>
      <c r="E7" s="177"/>
      <c r="F7" s="177"/>
      <c r="G7" s="176">
        <v>0.02</v>
      </c>
      <c r="H7" s="176"/>
    </row>
    <row r="8" spans="1:8" ht="15">
      <c r="A8" s="172"/>
      <c r="B8" s="173"/>
      <c r="C8" s="173"/>
      <c r="D8" s="173"/>
      <c r="E8" s="173"/>
      <c r="F8" s="173"/>
      <c r="G8" s="173"/>
      <c r="H8" s="174"/>
    </row>
    <row r="9" spans="1:8" ht="15">
      <c r="A9" s="178" t="s">
        <v>456</v>
      </c>
      <c r="B9" s="178"/>
      <c r="C9" s="178"/>
      <c r="D9" s="179" t="s">
        <v>457</v>
      </c>
      <c r="E9" s="180" t="s">
        <v>458</v>
      </c>
      <c r="F9" s="179" t="s">
        <v>459</v>
      </c>
      <c r="G9" s="179" t="s">
        <v>460</v>
      </c>
      <c r="H9" s="181" t="s">
        <v>461</v>
      </c>
    </row>
    <row r="10" spans="1:8" ht="14.25" customHeight="1">
      <c r="A10" s="182">
        <f>IF($A$4=$A$55,"Encargos Sociais incidentes sobre a mão de obra","Administração Central")</f>
        <v>0</v>
      </c>
      <c r="B10" s="182"/>
      <c r="C10" s="182"/>
      <c r="D10" s="183">
        <f>IF($A$4=$A$55,"K1","AC")</f>
        <v>0</v>
      </c>
      <c r="E10" s="184">
        <v>0.04</v>
      </c>
      <c r="F10" s="185">
        <v>0.03</v>
      </c>
      <c r="G10" s="185">
        <v>0.04</v>
      </c>
      <c r="H10" s="185">
        <v>0.055</v>
      </c>
    </row>
    <row r="11" spans="1:8" ht="15">
      <c r="A11" s="182">
        <f>IF($A$4=$A$55,"Administração Central da empresa ou consultoria - overhead","Seguro e Garantia")</f>
        <v>0</v>
      </c>
      <c r="B11" s="182"/>
      <c r="C11" s="182"/>
      <c r="D11" s="183">
        <f>IF($A$4=$A$55,"K2","SG")</f>
        <v>0</v>
      </c>
      <c r="E11" s="184">
        <v>0.008</v>
      </c>
      <c r="F11" s="185">
        <v>0.008</v>
      </c>
      <c r="G11" s="185">
        <v>0.008</v>
      </c>
      <c r="H11" s="185">
        <v>0.01</v>
      </c>
    </row>
    <row r="12" spans="1:8" ht="15">
      <c r="A12" s="182">
        <f>IF($A$4=$A$55,"","Risco")</f>
        <v>0</v>
      </c>
      <c r="B12" s="182"/>
      <c r="C12" s="182"/>
      <c r="D12" s="183">
        <f>IF($A$4=$A$55,"","R")</f>
        <v>0</v>
      </c>
      <c r="E12" s="184">
        <v>0.0127</v>
      </c>
      <c r="F12" s="185">
        <v>0.0097</v>
      </c>
      <c r="G12" s="185">
        <v>0.0127</v>
      </c>
      <c r="H12" s="185">
        <v>0.0127</v>
      </c>
    </row>
    <row r="13" spans="1:8" ht="15">
      <c r="A13" s="182">
        <f>IF($A$4=$A$55,"","Despesas Financeiras")</f>
        <v>0</v>
      </c>
      <c r="B13" s="182"/>
      <c r="C13" s="182"/>
      <c r="D13" s="183">
        <f>IF($A$4=$A$55,"","DF")</f>
        <v>0</v>
      </c>
      <c r="E13" s="184">
        <v>0.0123</v>
      </c>
      <c r="F13" s="185">
        <v>0.0059</v>
      </c>
      <c r="G13" s="185">
        <v>0.0123</v>
      </c>
      <c r="H13" s="186">
        <v>0.0139</v>
      </c>
    </row>
    <row r="14" spans="1:8" ht="15">
      <c r="A14" s="182">
        <f>IF($A$4=$A$55,"Margem bruta da empresa de consultoria","Lucro")</f>
        <v>0</v>
      </c>
      <c r="B14" s="182"/>
      <c r="C14" s="182"/>
      <c r="D14" s="183">
        <f>IF($A$4=$A$55,"K3","L")</f>
        <v>0</v>
      </c>
      <c r="E14" s="184">
        <v>0.074</v>
      </c>
      <c r="F14" s="186">
        <v>0.0616</v>
      </c>
      <c r="G14" s="186">
        <v>0.074</v>
      </c>
      <c r="H14" s="186">
        <v>0.0896</v>
      </c>
    </row>
    <row r="15" spans="1:8" ht="15">
      <c r="A15" s="187" t="s">
        <v>462</v>
      </c>
      <c r="B15" s="187"/>
      <c r="C15" s="187"/>
      <c r="D15" s="183" t="s">
        <v>463</v>
      </c>
      <c r="E15" s="184">
        <v>0.0365</v>
      </c>
      <c r="F15" s="186">
        <v>0.0365</v>
      </c>
      <c r="G15" s="186">
        <v>0.0365</v>
      </c>
      <c r="H15" s="186">
        <v>0.0365</v>
      </c>
    </row>
    <row r="16" spans="1:8" ht="13.5" customHeight="1">
      <c r="A16" s="182" t="s">
        <v>464</v>
      </c>
      <c r="B16" s="182"/>
      <c r="C16" s="182"/>
      <c r="D16" s="183" t="s">
        <v>465</v>
      </c>
      <c r="E16" s="186">
        <v>0.02</v>
      </c>
      <c r="F16" s="186">
        <v>0</v>
      </c>
      <c r="G16" s="186">
        <v>0.025</v>
      </c>
      <c r="H16" s="186">
        <v>0.05</v>
      </c>
    </row>
    <row r="17" spans="1:8" ht="20.25" customHeight="1">
      <c r="A17" s="182" t="s">
        <v>466</v>
      </c>
      <c r="B17" s="182"/>
      <c r="C17" s="182"/>
      <c r="D17" s="183" t="s">
        <v>467</v>
      </c>
      <c r="E17" s="186">
        <v>0</v>
      </c>
      <c r="F17" s="188">
        <v>0</v>
      </c>
      <c r="G17" s="188">
        <v>0.045</v>
      </c>
      <c r="H17" s="188">
        <v>0.045</v>
      </c>
    </row>
    <row r="18" spans="1:8" ht="20.25" customHeight="1">
      <c r="A18" s="189" t="s">
        <v>468</v>
      </c>
      <c r="B18" s="189"/>
      <c r="C18" s="189"/>
      <c r="D18" s="190" t="s">
        <v>469</v>
      </c>
      <c r="E18" s="191">
        <f>((1+E10+E11+E12)*(1+E13)*(1+E14))/(1-E15-E16)-1</f>
        <v>0.22226164190779008</v>
      </c>
      <c r="F18" s="191">
        <f>((1+F10+F11+F12)*(1+F13)*(1+F14))/(1-F15-F16)-1</f>
        <v>0.16118373231759242</v>
      </c>
      <c r="G18" s="191">
        <f>((1+G10+G11+G12)*(1+G13)*(1+G14))/(1-G15-G16)-1</f>
        <v>0.22877342476291962</v>
      </c>
      <c r="H18" s="191">
        <f>((1+H10+H11+H12)*(1+H13)*(1+H14))/(1-H15-H16)-1</f>
        <v>0.3033214676387519</v>
      </c>
    </row>
    <row r="19" spans="1:8" ht="15">
      <c r="A19" s="192" t="s">
        <v>470</v>
      </c>
      <c r="B19" s="192"/>
      <c r="C19" s="192"/>
      <c r="D19" s="192"/>
      <c r="E19" s="192"/>
      <c r="F19" s="192"/>
      <c r="G19" s="192"/>
      <c r="H19" s="192"/>
    </row>
    <row r="20" spans="1:8" ht="15">
      <c r="A20" s="192" t="s">
        <v>471</v>
      </c>
      <c r="B20" s="192"/>
      <c r="C20" s="192"/>
      <c r="D20" s="192"/>
      <c r="E20" s="192"/>
      <c r="F20" s="192"/>
      <c r="G20" s="192"/>
      <c r="H20" s="192"/>
    </row>
    <row r="21" spans="1:8" ht="66.75" customHeight="1">
      <c r="A21" s="192" t="s">
        <v>470</v>
      </c>
      <c r="B21" s="192"/>
      <c r="C21" s="192"/>
      <c r="D21" s="192"/>
      <c r="E21" s="192"/>
      <c r="F21" s="192"/>
      <c r="G21" s="192"/>
      <c r="H21" s="192"/>
    </row>
    <row r="22" spans="1:8" ht="33" customHeight="1">
      <c r="A22" s="193" t="s">
        <v>472</v>
      </c>
      <c r="B22" s="193"/>
      <c r="C22" s="193"/>
      <c r="D22" s="193"/>
      <c r="E22" s="193"/>
      <c r="F22" s="193"/>
      <c r="G22" s="193"/>
      <c r="H22" s="193"/>
    </row>
    <row r="23" spans="1:8" ht="33" customHeight="1">
      <c r="A23" s="194" t="s">
        <v>473</v>
      </c>
      <c r="B23" s="194"/>
      <c r="C23" s="194"/>
      <c r="D23" s="194"/>
      <c r="E23" s="194"/>
      <c r="F23" s="194"/>
      <c r="G23" s="194"/>
      <c r="H23" s="194"/>
    </row>
    <row r="25" spans="1:11" ht="14.25" customHeight="1">
      <c r="A25" s="195" t="s">
        <v>414</v>
      </c>
      <c r="B25" s="195"/>
      <c r="C25" s="195"/>
      <c r="D25" s="195"/>
      <c r="E25" s="195"/>
      <c r="F25" s="195"/>
      <c r="G25" s="195"/>
      <c r="H25" s="195"/>
      <c r="I25" s="123"/>
      <c r="J25" s="123"/>
      <c r="K25" s="123"/>
    </row>
    <row r="26" spans="1:11" ht="42" customHeight="1">
      <c r="A26" s="124" t="s">
        <v>415</v>
      </c>
      <c r="B26" s="124"/>
      <c r="C26" s="124"/>
      <c r="D26" s="124"/>
      <c r="E26" s="124"/>
      <c r="F26" s="124"/>
      <c r="G26" s="124"/>
      <c r="H26" s="124"/>
      <c r="I26" s="122"/>
      <c r="J26" s="122"/>
      <c r="K26" s="122"/>
    </row>
    <row r="27" spans="1:11" ht="14.2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spans="1:11" ht="14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4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4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</sheetData>
  <sheetProtection selectLockedCells="1" selectUnlockedCells="1"/>
  <mergeCells count="27">
    <mergeCell ref="A1:H1"/>
    <mergeCell ref="A2:H2"/>
    <mergeCell ref="A3:F3"/>
    <mergeCell ref="G3:H3"/>
    <mergeCell ref="A4:F4"/>
    <mergeCell ref="G4:H4"/>
    <mergeCell ref="A6:F6"/>
    <mergeCell ref="G6:H6"/>
    <mergeCell ref="A7:F7"/>
    <mergeCell ref="G7:H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H19"/>
    <mergeCell ref="A20:H20"/>
    <mergeCell ref="A21:H21"/>
    <mergeCell ref="A22:H22"/>
    <mergeCell ref="A23:H23"/>
    <mergeCell ref="A25:H25"/>
    <mergeCell ref="A26:H26"/>
  </mergeCells>
  <conditionalFormatting sqref="A18:H18">
    <cfRule type="expression" priority="1" dxfId="0" stopIfTrue="1">
      <formula>$O$12="Não"</formula>
    </cfRule>
  </conditionalFormatting>
  <conditionalFormatting sqref="F14:H17 H13">
    <cfRule type="expression" priority="2" dxfId="1" stopIfTrue="1">
      <formula>$G$12=$A$54</formula>
    </cfRule>
  </conditionalFormatting>
  <dataValidations count="6">
    <dataValidation type="list" operator="equal" allowBlank="1" showErrorMessage="1" sqref="B4:F4">
      <formula1>$A$57:$A$64</formula1>
    </dataValidation>
    <dataValidation type="decimal" allowBlank="1" showErrorMessage="1" errorTitle="Erro de valores" error="Digite um valor entre 0% e 100%" sqref="E10:E15">
      <formula1>0</formula1>
      <formula2>1</formula2>
    </dataValidation>
    <dataValidation type="decimal" allowBlank="1" showErrorMessage="1" errorTitle="Erro de valores" error="Digite um valor maior do que 0." sqref="E16">
      <formula1>0</formula1>
      <formula2>1</formula2>
    </dataValidation>
    <dataValidation operator="equal" allowBlank="1" showErrorMessage="1" errorTitle="Erro de valores" error="Digite um valor igual a 0% ou 2%." sqref="E17">
      <formula1>0</formula1>
    </dataValidation>
    <dataValidation type="decimal" allowBlank="1" showInputMessage="1" showErrorMessage="1" promptTitle="Valores admissíveis:" prompt="Insira valores entre 0 e 100%." errorTitle="Valor não permitido" error="Digite um percentual entre 0% e 100%." sqref="G6:H6">
      <formula1>0</formula1>
      <formula2>1</formula2>
    </dataValidation>
    <dataValidation type="decimal" operator="greaterThanOrEqual" allowBlank="1" showInputMessage="1" showErrorMessage="1" promptTitle="Valores comuns:" prompt="Normalmente entre 2 e 5%." errorTitle="Valor não permitido" error="Digite um percentual entre 0% e 100%." sqref="G7:H7">
      <formula1>0</formula1>
    </dataValidation>
  </dataValidations>
  <printOptions/>
  <pageMargins left="0.7875" right="0.7875" top="0.7875" bottom="0.78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Madu Vasco</dc:creator>
  <cp:keywords/>
  <dc:description/>
  <cp:lastModifiedBy/>
  <cp:lastPrinted>2023-08-30T12:27:24Z</cp:lastPrinted>
  <dcterms:created xsi:type="dcterms:W3CDTF">2023-07-18T18:10:25Z</dcterms:created>
  <dcterms:modified xsi:type="dcterms:W3CDTF">2023-10-09T12:46:48Z</dcterms:modified>
  <cp:category/>
  <cp:version/>
  <cp:contentType/>
  <cp:contentStatus/>
  <cp:revision>9</cp:revision>
</cp:coreProperties>
</file>