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20" yWindow="-120" windowWidth="20610" windowHeight="11160" firstSheet="2" activeTab="2"/>
  </bookViews>
  <sheets>
    <sheet name="MEM. QUANTITATIVO" sheetId="1" state="hidden" r:id="rId1"/>
    <sheet name="Plan2" sheetId="7" state="hidden" r:id="rId2"/>
    <sheet name="NÃO DESONERADA" sheetId="3" r:id="rId3"/>
    <sheet name="CFF NÃO DESONERADO" sheetId="4" state="hidden" r:id="rId4"/>
    <sheet name="CFF DESONERADO" sheetId="5" state="hidden" r:id="rId5"/>
  </sheets>
  <definedNames>
    <definedName name="_xlnm.Print_Area" localSheetId="4">'CFF DESONERADO'!$A$1:$E$30</definedName>
    <definedName name="_xlnm.Print_Area" localSheetId="3">'CFF NÃO DESONERADO'!$A$1:$E$30</definedName>
    <definedName name="TipoOrçamento">"BASE"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72" i="3"/>
  <c r="I72"/>
  <c r="K72" s="1"/>
  <c r="J73"/>
  <c r="I73"/>
  <c r="K73" s="1"/>
  <c r="J74"/>
  <c r="I74"/>
  <c r="K74" s="1"/>
  <c r="J71"/>
  <c r="I71"/>
  <c r="K71" s="1"/>
  <c r="J70"/>
  <c r="I70"/>
  <c r="K70" s="1"/>
  <c r="J69"/>
  <c r="I69"/>
  <c r="K69" s="1"/>
  <c r="J68"/>
  <c r="I68"/>
  <c r="K68" s="1"/>
  <c r="J67"/>
  <c r="I67"/>
  <c r="K67" s="1"/>
  <c r="J75" l="1"/>
  <c r="K75"/>
  <c r="J64"/>
  <c r="I64"/>
  <c r="K64" s="1"/>
  <c r="J63"/>
  <c r="I63"/>
  <c r="K63" s="1"/>
  <c r="I62"/>
  <c r="J61"/>
  <c r="I61"/>
  <c r="K61" s="1"/>
  <c r="J62" l="1"/>
  <c r="J65" s="1"/>
  <c r="K62"/>
  <c r="K65" s="1"/>
  <c r="J48"/>
  <c r="I48"/>
  <c r="K48" s="1"/>
  <c r="J38"/>
  <c r="I38"/>
  <c r="K38" s="1"/>
  <c r="G55" l="1"/>
  <c r="G53"/>
  <c r="J53" s="1"/>
  <c r="J58"/>
  <c r="I58"/>
  <c r="K58" s="1"/>
  <c r="J57"/>
  <c r="I57"/>
  <c r="K57" s="1"/>
  <c r="I56"/>
  <c r="I55"/>
  <c r="J55"/>
  <c r="I54"/>
  <c r="I53"/>
  <c r="I52"/>
  <c r="K52" s="1"/>
  <c r="J52"/>
  <c r="G45"/>
  <c r="G43"/>
  <c r="G44" s="1"/>
  <c r="G42"/>
  <c r="J49"/>
  <c r="I49"/>
  <c r="K49" s="1"/>
  <c r="J47"/>
  <c r="I47"/>
  <c r="K47" s="1"/>
  <c r="I46"/>
  <c r="I45"/>
  <c r="I44"/>
  <c r="I43"/>
  <c r="J42"/>
  <c r="I42"/>
  <c r="K42" s="1"/>
  <c r="G33"/>
  <c r="G34" s="1"/>
  <c r="G35"/>
  <c r="J35" s="1"/>
  <c r="J39"/>
  <c r="I39"/>
  <c r="K39" s="1"/>
  <c r="J37"/>
  <c r="I37"/>
  <c r="K37" s="1"/>
  <c r="I36"/>
  <c r="I35"/>
  <c r="K35" s="1"/>
  <c r="G36"/>
  <c r="I34"/>
  <c r="I33"/>
  <c r="K33" s="1"/>
  <c r="I32"/>
  <c r="K32" s="1"/>
  <c r="J32"/>
  <c r="I26"/>
  <c r="I27"/>
  <c r="I28"/>
  <c r="I29"/>
  <c r="I25"/>
  <c r="I24"/>
  <c r="I13"/>
  <c r="I14"/>
  <c r="I15"/>
  <c r="I16"/>
  <c r="I17"/>
  <c r="I18"/>
  <c r="I19"/>
  <c r="I20"/>
  <c r="I21"/>
  <c r="I12"/>
  <c r="I11"/>
  <c r="J43" l="1"/>
  <c r="K55"/>
  <c r="K43"/>
  <c r="K45"/>
  <c r="G46"/>
  <c r="K46" s="1"/>
  <c r="J59"/>
  <c r="K53"/>
  <c r="G54"/>
  <c r="J54" s="1"/>
  <c r="G56"/>
  <c r="J56" s="1"/>
  <c r="J45"/>
  <c r="K44"/>
  <c r="J44"/>
  <c r="J46"/>
  <c r="J33"/>
  <c r="J34"/>
  <c r="K34"/>
  <c r="K40" s="1"/>
  <c r="J36"/>
  <c r="K36"/>
  <c r="K29"/>
  <c r="J29"/>
  <c r="K28"/>
  <c r="J28"/>
  <c r="K27"/>
  <c r="J27"/>
  <c r="K26"/>
  <c r="J26"/>
  <c r="G24"/>
  <c r="K24" s="1"/>
  <c r="G21"/>
  <c r="J21" s="1"/>
  <c r="K20"/>
  <c r="J20"/>
  <c r="K19"/>
  <c r="J19"/>
  <c r="K18"/>
  <c r="J18"/>
  <c r="K17"/>
  <c r="J17"/>
  <c r="G16"/>
  <c r="K16" s="1"/>
  <c r="G14"/>
  <c r="K14" s="1"/>
  <c r="G12"/>
  <c r="G13" s="1"/>
  <c r="G11"/>
  <c r="K11" s="1"/>
  <c r="J50" l="1"/>
  <c r="J16"/>
  <c r="J40"/>
  <c r="K50"/>
  <c r="J13"/>
  <c r="K13"/>
  <c r="J12"/>
  <c r="G25"/>
  <c r="K25" s="1"/>
  <c r="K30" s="1"/>
  <c r="K12"/>
  <c r="G15"/>
  <c r="K15" s="1"/>
  <c r="K21"/>
  <c r="K56"/>
  <c r="K54"/>
  <c r="J11"/>
  <c r="J14"/>
  <c r="J24"/>
  <c r="K22"/>
  <c r="J25"/>
  <c r="J15" l="1"/>
  <c r="J22" s="1"/>
  <c r="J77"/>
  <c r="K59"/>
  <c r="J30"/>
  <c r="E16" i="5"/>
  <c r="B16"/>
  <c r="E14"/>
  <c r="B14"/>
  <c r="D12"/>
  <c r="E12" s="1"/>
  <c r="B12"/>
  <c r="E10"/>
  <c r="B10"/>
  <c r="D12" i="4"/>
  <c r="B16"/>
  <c r="B14"/>
  <c r="B12"/>
  <c r="B10"/>
  <c r="E16"/>
  <c r="E14"/>
  <c r="E10"/>
  <c r="J76" i="3" l="1"/>
  <c r="E12" i="4"/>
  <c r="E34" i="1"/>
  <c r="E27" l="1"/>
  <c r="G34"/>
  <c r="G31"/>
  <c r="F28"/>
  <c r="D28"/>
  <c r="G26"/>
  <c r="H22"/>
  <c r="H18"/>
  <c r="D17"/>
  <c r="H17" s="1"/>
  <c r="D11"/>
  <c r="D12" s="1"/>
  <c r="C11"/>
  <c r="C12" s="1"/>
  <c r="H10"/>
  <c r="G27" l="1"/>
  <c r="G28"/>
  <c r="H12"/>
  <c r="H11"/>
  <c r="F13" l="1"/>
  <c r="H13" s="1"/>
  <c r="C14" i="5"/>
  <c r="D15" s="1"/>
  <c r="E15" s="1"/>
  <c r="C12"/>
  <c r="D13" s="1"/>
  <c r="E13" s="1"/>
  <c r="C14" i="4" l="1"/>
  <c r="D15" s="1"/>
  <c r="E15" s="1"/>
  <c r="C12"/>
  <c r="D13" s="1"/>
  <c r="E13" s="1"/>
  <c r="C16" i="5" l="1"/>
  <c r="D17" s="1"/>
  <c r="C10"/>
  <c r="D11" s="1"/>
  <c r="C16" i="4" l="1"/>
  <c r="D17" s="1"/>
  <c r="E17" s="1"/>
  <c r="E11" i="5"/>
  <c r="D19"/>
  <c r="C10" i="4"/>
  <c r="C19" i="5"/>
  <c r="E19" s="1"/>
  <c r="E18" s="1"/>
  <c r="E17"/>
  <c r="D18" l="1"/>
  <c r="D11" i="4"/>
  <c r="D19" s="1"/>
  <c r="C19"/>
  <c r="E19" s="1"/>
  <c r="E18" s="1"/>
  <c r="E11" l="1"/>
  <c r="D18"/>
</calcChain>
</file>

<file path=xl/comments1.xml><?xml version="1.0" encoding="utf-8"?>
<comments xmlns="http://schemas.openxmlformats.org/spreadsheetml/2006/main">
  <authors>
    <author>Eulália Alves da Rocha</author>
  </authors>
  <commentList>
    <comment ref="C10" authorId="0">
      <text>
        <r>
          <rPr>
            <b/>
            <sz val="9"/>
            <color indexed="81"/>
            <rFont val="Segoe UI"/>
            <family val="2"/>
          </rPr>
          <t>Na largura da via deverá ser descontado as dimensões da sarjeta e meio fio.</t>
        </r>
      </text>
    </comment>
    <comment ref="C11" authorId="0">
      <text>
        <r>
          <rPr>
            <b/>
            <sz val="9"/>
            <color indexed="81"/>
            <rFont val="Segoe UI"/>
            <family val="2"/>
          </rPr>
          <t>Na largura da via deverá ser descontado as dimensões da sarjeta e meio fio.</t>
        </r>
      </text>
    </comment>
    <comment ref="F22" authorId="0">
      <text>
        <r>
          <rPr>
            <b/>
            <sz val="9"/>
            <color indexed="81"/>
            <rFont val="Segoe UI"/>
            <family val="2"/>
          </rPr>
          <t xml:space="preserve">Rampa de 1,20 x2,20x1,2 - considerando meio fio de 10 cm de altura e inclinação de 8,33%. </t>
        </r>
      </text>
    </comment>
    <comment ref="F27" authorId="0">
      <text>
        <r>
          <rPr>
            <b/>
            <sz val="9"/>
            <color indexed="81"/>
            <rFont val="Segoe UI"/>
            <family val="2"/>
          </rPr>
          <t>Deverá ser pintada faixa de pedestre onde existir rampas. Preferencialmente, próximo aos cruzamentos)</t>
        </r>
      </text>
    </comment>
  </commentList>
</comments>
</file>

<file path=xl/sharedStrings.xml><?xml version="1.0" encoding="utf-8"?>
<sst xmlns="http://schemas.openxmlformats.org/spreadsheetml/2006/main" count="485" uniqueCount="193">
  <si>
    <t>1.0</t>
  </si>
  <si>
    <t>ITEM</t>
  </si>
  <si>
    <t>DESCRIÇÃO</t>
  </si>
  <si>
    <t xml:space="preserve">LARGURA </t>
  </si>
  <si>
    <t>EXTENSÃO</t>
  </si>
  <si>
    <t>VOLUME</t>
  </si>
  <si>
    <t>DISTÂNCIA</t>
  </si>
  <si>
    <t>TOTAL</t>
  </si>
  <si>
    <t>UND</t>
  </si>
  <si>
    <t>(m)</t>
  </si>
  <si>
    <t>(m³)</t>
  </si>
  <si>
    <t>(km)</t>
  </si>
  <si>
    <t>1.1</t>
  </si>
  <si>
    <t>m²</t>
  </si>
  <si>
    <t>Limpeza de superfícies com jato de alta pressão de ar e água</t>
  </si>
  <si>
    <t>PLANILHA DE CÁLCULO DE QUANTITATIVOS DE RECAPEAMENTO</t>
  </si>
  <si>
    <t>LOCAL: ORLÂNDIA</t>
  </si>
  <si>
    <t>ANEL VIÁRIO DAVID ALVES</t>
  </si>
  <si>
    <t xml:space="preserve">RECAPEAMENTO ASFÁLTICO </t>
  </si>
  <si>
    <t>2.1</t>
  </si>
  <si>
    <t>Pintura de ligacao com emulsao RR-2C</t>
  </si>
  <si>
    <t>ESPESSURA</t>
  </si>
  <si>
    <t>1.2</t>
  </si>
  <si>
    <t>Construção de pavimento com aplicação de concreto betuminoso usinado a quente (CBUQ), binder, com espessura de 5,0 cm, exclusive transporte. AF_03/2017</t>
  </si>
  <si>
    <t>m³</t>
  </si>
  <si>
    <r>
      <t xml:space="preserve">Transporte com caminhão basculante 10 m³ de massa asfaltica para pavimentação urbana - </t>
    </r>
    <r>
      <rPr>
        <b/>
        <sz val="11"/>
        <color theme="1"/>
        <rFont val="Calibri"/>
        <family val="2"/>
        <scheme val="minor"/>
      </rPr>
      <t>CBUQ</t>
    </r>
  </si>
  <si>
    <t>m³xKm</t>
  </si>
  <si>
    <t>1.3</t>
  </si>
  <si>
    <t>1.4</t>
  </si>
  <si>
    <t>2.0</t>
  </si>
  <si>
    <t>LEVANTAMENTO OU REBAIXAMENTO DE TAMPÃO DE POÇO DE VISITA</t>
  </si>
  <si>
    <t>DIÂMETRO</t>
  </si>
  <si>
    <t>ÁREA</t>
  </si>
  <si>
    <t>(m²)</t>
  </si>
  <si>
    <t>QUANTIDADE</t>
  </si>
  <si>
    <t>2.2</t>
  </si>
  <si>
    <t>Assentamento de tampão de ferro fundido 600 mm</t>
  </si>
  <si>
    <t>unid.</t>
  </si>
  <si>
    <t>4.0</t>
  </si>
  <si>
    <t>SINALIZAÇÃO</t>
  </si>
  <si>
    <t xml:space="preserve">Nº DE FAIXAS PINTADAS  </t>
  </si>
  <si>
    <t xml:space="preserve">QUANTIDADE </t>
  </si>
  <si>
    <r>
      <t xml:space="preserve">Sinalização horizontal com tinta retrorrefletiva a base de resina acrilica com microesferas de vidro - </t>
    </r>
    <r>
      <rPr>
        <b/>
        <sz val="11"/>
        <color theme="1"/>
        <rFont val="Calibri"/>
        <family val="2"/>
        <scheme val="minor"/>
      </rPr>
      <t>FAIXA CONTINUA E SECCIONADA</t>
    </r>
  </si>
  <si>
    <t>-</t>
  </si>
  <si>
    <r>
      <t xml:space="preserve">Sinalização horizontal com tinta retrorrefletiva a base de resina acrilica com microesferas de vidro - </t>
    </r>
    <r>
      <rPr>
        <b/>
        <sz val="11"/>
        <color theme="1"/>
        <rFont val="Calibri"/>
        <family val="2"/>
        <scheme val="minor"/>
      </rPr>
      <t>FAIXA DE PEDESTRE</t>
    </r>
  </si>
  <si>
    <t>Piso podotatil de concreto - direcional e alerta, *40 x 40 x 2,5* cm</t>
  </si>
  <si>
    <t>und</t>
  </si>
  <si>
    <t>Area</t>
  </si>
  <si>
    <t>Quantidade</t>
  </si>
  <si>
    <t>Altura</t>
  </si>
  <si>
    <t>m</t>
  </si>
  <si>
    <t>TUBO ACO GALVANIZADO COM COSTURA, CLASSE LEVE, DN 50 MM ( 2"), E = 3,00 MM -Suporte placas</t>
  </si>
  <si>
    <t>3.0</t>
  </si>
  <si>
    <t>ACESSIBILIDADE</t>
  </si>
  <si>
    <t xml:space="preserve">BASE MAIOR </t>
  </si>
  <si>
    <t>BASE MENOR</t>
  </si>
  <si>
    <t xml:space="preserve">ALTURA </t>
  </si>
  <si>
    <t>3.1</t>
  </si>
  <si>
    <r>
      <t xml:space="preserve">Execução de passeio (calçada) ou piso de concreto com concreto moldado in loco, feito em obra, acabamento convencional, espessura 10 cm armado. AF_07/2016 - </t>
    </r>
    <r>
      <rPr>
        <b/>
        <sz val="11"/>
        <rFont val="Calibri"/>
        <family val="2"/>
        <scheme val="minor"/>
      </rPr>
      <t>RAMPA DE ACESSIBILIDADE</t>
    </r>
  </si>
  <si>
    <t>(unid.)</t>
  </si>
  <si>
    <t xml:space="preserve">BDI MATERIAL (%) </t>
  </si>
  <si>
    <t xml:space="preserve">BDI SERVIÇO (%) </t>
  </si>
  <si>
    <t>CÓDIGO</t>
  </si>
  <si>
    <t>TABELA</t>
  </si>
  <si>
    <t>S - Serviço I - Insumo</t>
  </si>
  <si>
    <t>UNI</t>
  </si>
  <si>
    <t>QUANTITATIVO</t>
  </si>
  <si>
    <t xml:space="preserve">CUSTO UNITÁRIO (R$) </t>
  </si>
  <si>
    <t>PREÇO COM BDI (R$)</t>
  </si>
  <si>
    <t>VALOR TOTAL (R$)</t>
  </si>
  <si>
    <t>VALOR TOTAL COM BDI (R$)</t>
  </si>
  <si>
    <t>SINAPI</t>
  </si>
  <si>
    <t>S</t>
  </si>
  <si>
    <t>SUB - TOTAL</t>
  </si>
  <si>
    <t>4.1</t>
  </si>
  <si>
    <t>I</t>
  </si>
  <si>
    <t xml:space="preserve"> TOTAL (R$)</t>
  </si>
  <si>
    <t>TOTAL INCLUSO BDI  (%)</t>
  </si>
  <si>
    <t>PREFEITURA MUNICIPAL DE ORLÂNDIA</t>
  </si>
  <si>
    <t>Demolição de pavimentação asfáltica com utilização de martelo perfurador, espessura até 15cm, exclusive carga e transporte</t>
  </si>
  <si>
    <t>Placa de sinalização em chapa em aço num 16 com pintura refletiva ( identificação de logradouro )</t>
  </si>
  <si>
    <t>CRONOGRAMA FÍSICO-FINANCEIRO</t>
  </si>
  <si>
    <t>ÍTEM</t>
  </si>
  <si>
    <t>TOTAL COM BDI</t>
  </si>
  <si>
    <t>ACUM.</t>
  </si>
  <si>
    <t>PORCENTAGEM</t>
  </si>
  <si>
    <t>TOTAL GERAL</t>
  </si>
  <si>
    <t xml:space="preserve">OBJETO: Obras de Recuperação do Anel Viário "David Alves" no Município de Orlândia/SP </t>
  </si>
  <si>
    <t>TERMO DE COMPROMISSO Nº 0571/2017</t>
  </si>
  <si>
    <t>MUNICÍPIO: Orlândia -SP</t>
  </si>
  <si>
    <t>OBRA: RECAPEAMENTO DE VIAS PÚBLICAS  - TERMO DE COMPROMISSO Nº 0571/2017</t>
  </si>
  <si>
    <t>30 DIAS</t>
  </si>
  <si>
    <t>4.1.1</t>
  </si>
  <si>
    <t>4.1.2</t>
  </si>
  <si>
    <t>4.2</t>
  </si>
  <si>
    <t>4.3</t>
  </si>
  <si>
    <t>4.3.1</t>
  </si>
  <si>
    <t>4.4</t>
  </si>
  <si>
    <t>4.4.1</t>
  </si>
  <si>
    <t xml:space="preserve">De acordo. </t>
  </si>
  <si>
    <t xml:space="preserve"> _________________________________</t>
  </si>
  <si>
    <t>_________________________________</t>
  </si>
  <si>
    <t>Oswaldo Ribeiro Junqueira Neto</t>
  </si>
  <si>
    <t>Responsável Técnico</t>
  </si>
  <si>
    <t xml:space="preserve">        Prefeito Municipal de Orlândia       </t>
  </si>
  <si>
    <t xml:space="preserve">BDI:  - Serviço = 20,97% | Insumo =  20,97% </t>
  </si>
  <si>
    <t xml:space="preserve">BDI:  - Serviço = 27,03% | Insumo =  27,03% </t>
  </si>
  <si>
    <t>CREA/SP 5070132321</t>
  </si>
  <si>
    <t xml:space="preserve">Orlândia, 02 de Dezembro de 2019. </t>
  </si>
  <si>
    <t xml:space="preserve">         Eng. Civil Alessandro Chiquini       </t>
  </si>
  <si>
    <t>ART n° 28027230191598631</t>
  </si>
  <si>
    <t xml:space="preserve">Eng. Civil Alessandro Chiquini  </t>
  </si>
  <si>
    <t>1.5</t>
  </si>
  <si>
    <t>1.6</t>
  </si>
  <si>
    <t>1.7</t>
  </si>
  <si>
    <t>1.8</t>
  </si>
  <si>
    <t>1.9</t>
  </si>
  <si>
    <t>1.10</t>
  </si>
  <si>
    <t>ESCAVAÇÃO MECANIZADA DE VALA COM PROF. ATÉ 1,5 M (MÉDIA ENTRE MONTANTE E JUSANTE/UMA COMPOSIÇÃO POR TRECHO), COM RETROESCAVADEIRA (0,26 M3/88 HP), LARG. DE 0,8 M A 1,5 M, EM SOLO DE 1A CATEGORIA, EM LOCAIS COM ALTO NÍVEL DE INTERFERÊNCIA. AF_01/2015</t>
  </si>
  <si>
    <t>OBRAS DA REDE DE ESGOTO</t>
  </si>
  <si>
    <t>BASE PARA POÇO DE VISITA CIRCULAR PARA  ESGOTO, EM ALVENARIA COM TIJOLOS CERÂMICOS MACIÇOS, DIÂMETRO INTERNO = 0,8 M, PROFUNDIDADE = 1,45 M, EXCLUINDO TAMPÃO. AF_05/2018</t>
  </si>
  <si>
    <t>TUBO DE PVC CORRUGADO DE DUPLA PAREDE PARA REDE COLETORA DE ESGOTO, DN 150 MM, JUNTA ELÁSTICA, INSTALADO EM LOCAL COM NÍVEL BAIXO DE INTERFERÊNCIAS - FORNECIMENTO E ASSENTAMENTO. AF_06/2015</t>
  </si>
  <si>
    <t>TAMPAO FOFO SIMPLES COM BASE, CLASSE D400 CARGA MAX 40 T, REDONDO TAMPA 600 UN 379,55
MM, REDE PLUVIAL/ESGOTO</t>
  </si>
  <si>
    <t>m³xkm</t>
  </si>
  <si>
    <t>TRANSPORTE DE ENTULHO COM CAMINHAO BASCULANTE 6 M3, RODOVIA PAVIMENTADA, DMT 0,5 A 1,0 KM (Considerando 10 km rodado, traslado e ida e volta)</t>
  </si>
  <si>
    <t>ACRÉSCIMO PARA POÇO DE VISITA CIRCULAR PARA ESGOTO, EM CONCRETO PRÉ-MOLDADO, DIÂMETRO INTERNO = 1 M. AF_05/2018</t>
  </si>
  <si>
    <t xml:space="preserve">       Eng. Renan Elias      </t>
  </si>
  <si>
    <t>CREA/SP 5069756100</t>
  </si>
  <si>
    <t xml:space="preserve"> </t>
  </si>
  <si>
    <t>PLANILHA ORÇAMENTÁRIA (SEM DESONERAÇÃO)</t>
  </si>
  <si>
    <t>AVENIDA MARGINAL "L" ENTRE AS RUA 03 E RUA 05</t>
  </si>
  <si>
    <t xml:space="preserve">DEMOLIÇÃO DE PAVIMENTAÇÃO ASFÁLTICA COM UTILIZAÇÃO DE MARTELO PERFURADOR, ESPESSURA ATÉ 15 CM, EXCLUSIVE CARGA E TRANSPORTE </t>
  </si>
  <si>
    <t>CARGA MANUAL DE ENTULHO EM CAMINHAO BASCULANTE 6 M3 (Cinsiderando área demolida pela espessura de 0,15 mais 100 % de "volume de vazios")</t>
  </si>
  <si>
    <t xml:space="preserve">ESCAVAÇÃO MECANIZADA DE VALA COM PROF. MAIOR QUE 1,5 M ATÉ 3,0 M (MÉDIA ENTRE MONTANTE E JUSANTE/UMA COMPOSIÇÃO POR TRECHO), COM RETROESCAVADEIRA (0,26 M3/ POTÊNCIA:88 HP), LARGURA DE 0,8 M A 1,5 M, EM SOLO DE 1A CATEGORIA, EM LOCAIS COM ALTO NÍVEL DE INTERFERÊNCIA. AF_01/2015 </t>
  </si>
  <si>
    <t>ATERRO MECANIZADO DE VALA COM RETROESCAVADEIRA (CAPACIDADE DA CAÇAMBA DA RETRO: 0,26 M³ / POTÊNCIA: 88 HP), LARGURA ATÉ 0,8 M, PROFUNDIDADE DE 1,5 A 3,0 M, COM SOLO ARGILO-ARENOSO. AF_05/2016</t>
  </si>
  <si>
    <t>TUBO DE CONCRETO PARA REDES COLETORAS DE ÁGUAS PLUVIAIS, DIÂMETRO DE 1000 MM, JUNTA RÍGIDA, INSTALADO EM LOCAL COM ALTO NÍVEL DE INTERFERÊNCIAS - FORNECIMENTO E ASSENTAMENTO. AF_12/2015</t>
  </si>
  <si>
    <t>ATERRO MECANIZADO DE VALA COM RETROESCAVADEIRA (CAPACIDADE DA CAÇAMBA DA RETRO: 0,26 M³ / POTÊNCIA: 88 HP), LARGURA DE 0,8 A 1,5 M, PROFUNDIDADE DE 1,5 A 3,0 M, COM SOLO ARGILO-ARENOSO. AF_05/2016</t>
  </si>
  <si>
    <t>FORNECIMENTO E LANCAMENTO DE BRITA N. 1 - (considerando e=40CM)</t>
  </si>
  <si>
    <t>BASE PARA POÇO DE VISITA RETANGULAR PARA DRENAGEM, EM ALVENARIA COM BLOCOS DE CONCRETO, DIMENSÕES INTERNAS = 1X1,5 M, PROFUNDIDADE = 1,45 M, EXCLUINDO TAMPÃO. AF_05/2018</t>
  </si>
  <si>
    <t>ACRÉSCIMO PARA POÇO DE VISITA RETANGULAR PARA DRENAGEM, EM ALVENARIA COM BLOCOS DE CONCRETO, DIMENSÕES INTERNAS = 1X1,5 M. AF_05/2018</t>
  </si>
  <si>
    <t>PEÇA RETANGULAR PRÉ-MOLDADA, VOLUME DE CONCRETO DE 30 A 70 LITROS , TAXA DE AÇO APROXIMADA DE 70KG/M³. AF_01/2018  - TAMPA SUBTERRÂNEA</t>
  </si>
  <si>
    <t>2.3</t>
  </si>
  <si>
    <t>2.4</t>
  </si>
  <si>
    <t>2.5</t>
  </si>
  <si>
    <t>2.6</t>
  </si>
  <si>
    <t>1.11</t>
  </si>
  <si>
    <t>OBRAS DE MANUTENÇÃO DE GALERIAS DE ÁGUAS PLUVIAIS</t>
  </si>
  <si>
    <t>REPARO EM REDE DE ESGOTO AVENIDA MARGINAL "L" FINAL DA RUA ENTRE RUA 03 E RUA 05</t>
  </si>
  <si>
    <t>REPARO EM GALERIAS RUA 08 COM AVENIDA "1" ESQUINA</t>
  </si>
  <si>
    <t>TUBO DE CONCRETO PARA REDES COLETORAS DE ÁGUAS PLUVIAIS, DIÂMETRO DE 800 MM, JUNTA RÍGIDA, INSTALADO EM LOCAL COM BAIXO NÍVEL DE INTERFERÊNCIAS - FORNECIMENTO E ASSENTAMENTO. AF_12/2015</t>
  </si>
  <si>
    <t>REPARO EM GALERIAS RUA 04 COM AVENIDA "1"</t>
  </si>
  <si>
    <t>3.2</t>
  </si>
  <si>
    <t>3.3</t>
  </si>
  <si>
    <t>3.4</t>
  </si>
  <si>
    <t>3.5</t>
  </si>
  <si>
    <t>3.6</t>
  </si>
  <si>
    <t>3.7</t>
  </si>
  <si>
    <t>4.5</t>
  </si>
  <si>
    <t>4.6</t>
  </si>
  <si>
    <t>4.7</t>
  </si>
  <si>
    <t>REPARO EM GALERIAS RUA 12 COM AVENIDA "B"</t>
  </si>
  <si>
    <t>TUBO DE CONCRETO PARA REDES COLETORAS DE ÁGUAS PLUVIAIS, DIÂMETRO DE 400 MM, JUNTA RÍGIDA, INSTALADO EM LOCAL COM BAIXO NÍVEL DE INTERFERÊNCIAS - FORNECIMENTO E ASSENTAMENTO. AF_12/2015</t>
  </si>
  <si>
    <t>5.1</t>
  </si>
  <si>
    <t>5.2</t>
  </si>
  <si>
    <t>5.3</t>
  </si>
  <si>
    <t>5.4</t>
  </si>
  <si>
    <t>5.5</t>
  </si>
  <si>
    <t>5.6</t>
  </si>
  <si>
    <t>5.7</t>
  </si>
  <si>
    <t>3.8</t>
  </si>
  <si>
    <t>4.8</t>
  </si>
  <si>
    <t>EXECUÇÃO DE PASSEIO (CALÇADA) OU PISO DE CONCRETO COM CONCRETO MOLDADO IN LOCO, USINADO, ACABAMENTO CONVENCIONAL, NÃO ARMADO. AF_07/2016 - ENVELOPAMENTO</t>
  </si>
  <si>
    <t xml:space="preserve">EXECUÇÃO DE PASSEIO (CALÇADA) OU PISO DE CONCRETO COM CONCRETO MOLDADO IN LOCO, USINADO, ACABAMENTO CONVENCIONAL, NÃO ARMADO. AF_07/2016 ENVELOPAMENTO </t>
  </si>
  <si>
    <t>6.1</t>
  </si>
  <si>
    <t>6.2</t>
  </si>
  <si>
    <t>6.3</t>
  </si>
  <si>
    <t>6.4</t>
  </si>
  <si>
    <t>TUBO DE PVC CORRUGADO DE DUPLA PAREDE PARA REDE COLETORA DE ESGOTO, DN 350 MM, JUNTA ELÁSTICA, INSTALADO EM LOCAL COM NÍVEL BAIXO DE INTERFERÊNCIAS - FORNECIMENTO E ASSENTAMENTO. AF_06/2015</t>
  </si>
  <si>
    <t>REPARO EM REDE DE ESGOTO EMISSÁRIO DE ESGOTO - FAZENDA SÃO JOÃO</t>
  </si>
  <si>
    <t>7.1</t>
  </si>
  <si>
    <t>7.2</t>
  </si>
  <si>
    <t>7.3</t>
  </si>
  <si>
    <t>7.4</t>
  </si>
  <si>
    <t>7.5</t>
  </si>
  <si>
    <t>7.6</t>
  </si>
  <si>
    <t>Orlândia/SP, 16 de abril de 2020.</t>
  </si>
  <si>
    <t>Leonardo Donizeti Alves</t>
  </si>
  <si>
    <t>Secretário Municipal de Infraestrutura Urbana</t>
  </si>
  <si>
    <t>7.7</t>
  </si>
  <si>
    <t>7.8</t>
  </si>
  <si>
    <t>TUBO DE CONCRETO PARA REDES COLETORAS DE ÁGUAS PLUVIAIS, DIÂMETRO DE 600 MM, JUNTA RÍGIDA, INSTALADO EM LOCAL COM ALTO NÍVEL DE INTERFERÊNCIAS - FORNECIMENTO E ASSENTAMENTO. AF_12/2015</t>
  </si>
  <si>
    <t>REPARO EM REDE DE ESGOTO e DE GALERIAS PLUVIAIS -  RUA 08 CRUZAMENTO COM AVENIDA M</t>
  </si>
  <si>
    <t>TABELA DE REFERÊNCIA - SINAPI / SP / 01_2020 /SEM DESONERAÇÃO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</si>
</sst>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#,##0.0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name val="Arial"/>
      <family val="2"/>
    </font>
    <font>
      <b/>
      <sz val="10"/>
      <name val="Verdana"/>
      <family val="2"/>
    </font>
    <font>
      <sz val="10"/>
      <name val="Cambria"/>
      <family val="1"/>
      <scheme val="major"/>
    </font>
    <font>
      <sz val="14"/>
      <name val="Cambria"/>
      <family val="1"/>
      <scheme val="major"/>
    </font>
    <font>
      <b/>
      <sz val="14"/>
      <name val="Verdana"/>
      <family val="2"/>
    </font>
    <font>
      <sz val="10"/>
      <color indexed="12"/>
      <name val="Cambria"/>
      <family val="1"/>
      <scheme val="major"/>
    </font>
    <font>
      <b/>
      <sz val="10"/>
      <color indexed="9"/>
      <name val="Verdana"/>
      <family val="2"/>
    </font>
    <font>
      <b/>
      <sz val="10"/>
      <color indexed="9"/>
      <name val="Cambria"/>
      <family val="1"/>
      <scheme val="major"/>
    </font>
    <font>
      <b/>
      <sz val="10"/>
      <color indexed="8"/>
      <name val="Verdana"/>
      <family val="2"/>
    </font>
    <font>
      <sz val="10"/>
      <color indexed="8"/>
      <name val="Verdana"/>
      <family val="2"/>
    </font>
    <font>
      <b/>
      <sz val="10"/>
      <color indexed="8"/>
      <name val="Cambria"/>
      <family val="1"/>
      <scheme val="major"/>
    </font>
    <font>
      <sz val="10"/>
      <name val="Arial"/>
      <family val="2"/>
    </font>
    <font>
      <sz val="10"/>
      <name val="Verdana"/>
      <family val="2"/>
    </font>
    <font>
      <b/>
      <sz val="10"/>
      <color theme="0"/>
      <name val="Verdana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19" fillId="0" borderId="0"/>
    <xf numFmtId="164" fontId="8" fillId="0" borderId="0" applyFont="0" applyFill="0" applyBorder="0" applyAlignment="0" applyProtection="0"/>
  </cellStyleXfs>
  <cellXfs count="172">
    <xf numFmtId="0" fontId="0" fillId="0" borderId="0" xfId="0"/>
    <xf numFmtId="0" fontId="2" fillId="3" borderId="4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>
      <alignment vertical="center"/>
    </xf>
    <xf numFmtId="4" fontId="2" fillId="4" borderId="4" xfId="0" applyNumberFormat="1" applyFont="1" applyFill="1" applyBorder="1" applyAlignment="1" applyProtection="1">
      <alignment horizontal="center" vertical="center"/>
    </xf>
    <xf numFmtId="4" fontId="2" fillId="0" borderId="4" xfId="0" applyNumberFormat="1" applyFont="1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 wrapText="1"/>
    </xf>
    <xf numFmtId="4" fontId="0" fillId="0" borderId="4" xfId="0" applyNumberFormat="1" applyBorder="1" applyAlignment="1" applyProtection="1">
      <alignment horizontal="center" vertical="center"/>
    </xf>
    <xf numFmtId="0" fontId="0" fillId="4" borderId="4" xfId="0" applyFont="1" applyFill="1" applyBorder="1" applyAlignment="1" applyProtection="1">
      <alignment horizontal="center" vertical="center" wrapText="1"/>
    </xf>
    <xf numFmtId="4" fontId="0" fillId="4" borderId="4" xfId="0" applyNumberFormat="1" applyFill="1" applyBorder="1" applyAlignment="1" applyProtection="1">
      <alignment horizontal="center" vertical="center"/>
    </xf>
    <xf numFmtId="0" fontId="0" fillId="0" borderId="0" xfId="0" applyFill="1"/>
    <xf numFmtId="0" fontId="2" fillId="0" borderId="0" xfId="0" applyFont="1" applyFill="1" applyBorder="1" applyAlignment="1">
      <alignment horizontal="center" vertical="center"/>
    </xf>
    <xf numFmtId="4" fontId="0" fillId="0" borderId="0" xfId="0" applyNumberFormat="1" applyBorder="1" applyAlignment="1" applyProtection="1">
      <alignment vertical="center"/>
    </xf>
    <xf numFmtId="0" fontId="0" fillId="0" borderId="0" xfId="0" applyProtection="1"/>
    <xf numFmtId="4" fontId="0" fillId="4" borderId="4" xfId="0" applyNumberFormat="1" applyFill="1" applyBorder="1" applyAlignment="1" applyProtection="1">
      <alignment horizontal="center" vertical="center"/>
      <protection locked="0"/>
    </xf>
    <xf numFmtId="4" fontId="2" fillId="0" borderId="4" xfId="0" applyNumberFormat="1" applyFont="1" applyBorder="1" applyAlignment="1" applyProtection="1">
      <alignment horizontal="center" vertical="center" wrapText="1"/>
    </xf>
    <xf numFmtId="0" fontId="0" fillId="0" borderId="4" xfId="0" applyFont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justify" vertical="center" wrapText="1"/>
    </xf>
    <xf numFmtId="4" fontId="1" fillId="4" borderId="4" xfId="0" applyNumberFormat="1" applyFont="1" applyFill="1" applyBorder="1" applyAlignment="1" applyProtection="1">
      <alignment horizontal="center" vertical="center"/>
    </xf>
    <xf numFmtId="4" fontId="0" fillId="4" borderId="4" xfId="0" applyNumberFormat="1" applyFont="1" applyFill="1" applyBorder="1" applyAlignment="1" applyProtection="1">
      <alignment horizontal="center" vertical="center"/>
    </xf>
    <xf numFmtId="4" fontId="1" fillId="0" borderId="4" xfId="0" applyNumberFormat="1" applyFont="1" applyBorder="1" applyAlignment="1" applyProtection="1">
      <alignment horizontal="center" vertical="center"/>
    </xf>
    <xf numFmtId="4" fontId="1" fillId="4" borderId="5" xfId="0" applyNumberFormat="1" applyFont="1" applyFill="1" applyBorder="1" applyAlignment="1" applyProtection="1">
      <alignment horizontal="center" vertical="center"/>
    </xf>
    <xf numFmtId="4" fontId="0" fillId="0" borderId="4" xfId="0" applyNumberFormat="1" applyFill="1" applyBorder="1" applyAlignment="1" applyProtection="1">
      <alignment horizontal="center" vertical="center"/>
    </xf>
    <xf numFmtId="4" fontId="1" fillId="0" borderId="4" xfId="0" applyNumberFormat="1" applyFont="1" applyFill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center" vertical="center" wrapText="1"/>
    </xf>
    <xf numFmtId="0" fontId="0" fillId="0" borderId="4" xfId="0" applyFill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justify" vertical="center" wrapText="1"/>
    </xf>
    <xf numFmtId="4" fontId="1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/>
    <xf numFmtId="0" fontId="3" fillId="0" borderId="14" xfId="0" applyFont="1" applyBorder="1" applyAlignment="1" applyProtection="1">
      <alignment horizontal="center" vertical="center"/>
    </xf>
    <xf numFmtId="4" fontId="3" fillId="0" borderId="0" xfId="0" applyNumberFormat="1" applyFont="1" applyBorder="1" applyAlignment="1" applyProtection="1">
      <alignment horizontal="center" vertical="center"/>
    </xf>
    <xf numFmtId="4" fontId="2" fillId="0" borderId="1" xfId="0" applyNumberFormat="1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left" vertical="center"/>
    </xf>
    <xf numFmtId="4" fontId="2" fillId="0" borderId="0" xfId="0" applyNumberFormat="1" applyFont="1" applyBorder="1" applyAlignment="1" applyProtection="1">
      <alignment horizontal="center" vertical="center"/>
    </xf>
    <xf numFmtId="4" fontId="1" fillId="0" borderId="0" xfId="0" applyNumberFormat="1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1" fillId="0" borderId="0" xfId="0" applyFont="1" applyAlignment="1">
      <alignment horizontal="center"/>
    </xf>
    <xf numFmtId="0" fontId="7" fillId="0" borderId="4" xfId="0" applyFont="1" applyBorder="1" applyAlignment="1" applyProtection="1">
      <alignment horizontal="center" vertical="center" wrapText="1"/>
    </xf>
    <xf numFmtId="4" fontId="7" fillId="0" borderId="4" xfId="0" applyNumberFormat="1" applyFont="1" applyBorder="1" applyAlignment="1" applyProtection="1">
      <alignment horizontal="center" vertical="center" wrapText="1"/>
    </xf>
    <xf numFmtId="0" fontId="1" fillId="3" borderId="4" xfId="0" applyFont="1" applyFill="1" applyBorder="1" applyAlignment="1" applyProtection="1">
      <alignment horizontal="center" vertical="center" wrapText="1"/>
    </xf>
    <xf numFmtId="0" fontId="1" fillId="3" borderId="4" xfId="0" applyFont="1" applyFill="1" applyBorder="1" applyAlignment="1" applyProtection="1">
      <alignment horizontal="center" vertical="center"/>
    </xf>
    <xf numFmtId="4" fontId="1" fillId="3" borderId="4" xfId="0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0" xfId="0" applyFont="1" applyProtection="1">
      <protection locked="0"/>
    </xf>
    <xf numFmtId="0" fontId="6" fillId="3" borderId="4" xfId="0" applyFont="1" applyFill="1" applyBorder="1" applyAlignment="1" applyProtection="1">
      <alignment horizontal="center" vertical="center"/>
    </xf>
    <xf numFmtId="0" fontId="5" fillId="3" borderId="4" xfId="0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/>
    </xf>
    <xf numFmtId="4" fontId="5" fillId="3" borderId="4" xfId="0" applyNumberFormat="1" applyFont="1" applyFill="1" applyBorder="1" applyAlignment="1" applyProtection="1">
      <alignment horizontal="center" vertical="center"/>
    </xf>
    <xf numFmtId="4" fontId="7" fillId="0" borderId="4" xfId="0" applyNumberFormat="1" applyFont="1" applyBorder="1" applyAlignment="1" applyProtection="1">
      <alignment horizontal="center" vertical="center"/>
    </xf>
    <xf numFmtId="4" fontId="1" fillId="0" borderId="0" xfId="0" applyNumberFormat="1" applyFont="1"/>
    <xf numFmtId="0" fontId="5" fillId="0" borderId="0" xfId="0" applyFont="1"/>
    <xf numFmtId="0" fontId="10" fillId="0" borderId="0" xfId="1" applyFont="1" applyBorder="1" applyAlignment="1">
      <alignment vertical="center"/>
    </xf>
    <xf numFmtId="0" fontId="11" fillId="0" borderId="0" xfId="1" applyFont="1" applyBorder="1" applyAlignment="1">
      <alignment horizontal="left" vertical="center"/>
    </xf>
    <xf numFmtId="0" fontId="13" fillId="0" borderId="0" xfId="1" applyFont="1" applyFill="1" applyBorder="1" applyAlignment="1">
      <alignment vertical="center"/>
    </xf>
    <xf numFmtId="10" fontId="17" fillId="0" borderId="4" xfId="1" applyNumberFormat="1" applyFont="1" applyFill="1" applyBorder="1" applyAlignment="1">
      <alignment horizontal="center" vertical="center" wrapText="1"/>
    </xf>
    <xf numFmtId="0" fontId="18" fillId="0" borderId="0" xfId="1" applyFont="1" applyFill="1" applyBorder="1" applyAlignment="1">
      <alignment horizontal="center" vertical="center" wrapText="1"/>
    </xf>
    <xf numFmtId="4" fontId="17" fillId="0" borderId="4" xfId="1" applyNumberFormat="1" applyFont="1" applyFill="1" applyBorder="1" applyAlignment="1">
      <alignment horizontal="center" vertical="center" wrapText="1"/>
    </xf>
    <xf numFmtId="4" fontId="18" fillId="0" borderId="0" xfId="1" applyNumberFormat="1" applyFont="1" applyFill="1" applyBorder="1" applyAlignment="1">
      <alignment horizontal="center" vertical="center" wrapText="1"/>
    </xf>
    <xf numFmtId="10" fontId="16" fillId="0" borderId="4" xfId="2" applyNumberFormat="1" applyFont="1" applyBorder="1" applyAlignment="1">
      <alignment horizontal="center" vertical="center" wrapText="1"/>
    </xf>
    <xf numFmtId="165" fontId="17" fillId="0" borderId="4" xfId="1" applyNumberFormat="1" applyFont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center" vertical="center"/>
    </xf>
    <xf numFmtId="4" fontId="16" fillId="0" borderId="4" xfId="2" applyNumberFormat="1" applyFont="1" applyBorder="1" applyAlignment="1">
      <alignment horizontal="center" vertical="center" wrapText="1"/>
    </xf>
    <xf numFmtId="4" fontId="16" fillId="0" borderId="4" xfId="1" applyNumberFormat="1" applyFont="1" applyBorder="1" applyAlignment="1">
      <alignment horizontal="center" vertical="center" wrapText="1"/>
    </xf>
    <xf numFmtId="0" fontId="10" fillId="0" borderId="0" xfId="1" applyFont="1" applyAlignment="1">
      <alignment vertical="center"/>
    </xf>
    <xf numFmtId="164" fontId="10" fillId="0" borderId="0" xfId="3" applyFont="1" applyAlignment="1">
      <alignment vertical="center"/>
    </xf>
    <xf numFmtId="0" fontId="10" fillId="0" borderId="0" xfId="1" applyFont="1" applyAlignment="1">
      <alignment horizontal="center" vertical="center"/>
    </xf>
    <xf numFmtId="0" fontId="15" fillId="4" borderId="0" xfId="1" applyFont="1" applyFill="1" applyBorder="1" applyAlignment="1">
      <alignment horizontal="center" vertical="center" wrapText="1"/>
    </xf>
    <xf numFmtId="0" fontId="21" fillId="6" borderId="4" xfId="1" applyFont="1" applyFill="1" applyBorder="1" applyAlignment="1">
      <alignment horizontal="center" vertical="center" wrapText="1"/>
    </xf>
    <xf numFmtId="0" fontId="0" fillId="4" borderId="4" xfId="0" applyFill="1" applyBorder="1" applyAlignment="1" applyProtection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center"/>
    </xf>
    <xf numFmtId="0" fontId="9" fillId="0" borderId="0" xfId="1" applyFont="1" applyBorder="1" applyAlignment="1">
      <alignment horizontal="left" vertical="center" wrapText="1"/>
    </xf>
    <xf numFmtId="0" fontId="0" fillId="0" borderId="13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4" fontId="0" fillId="0" borderId="2" xfId="0" applyNumberFormat="1" applyBorder="1" applyAlignment="1" applyProtection="1">
      <alignment horizontal="center" vertical="center"/>
    </xf>
    <xf numFmtId="4" fontId="0" fillId="0" borderId="3" xfId="0" applyNumberFormat="1" applyBorder="1" applyAlignment="1" applyProtection="1">
      <alignment horizontal="center" vertical="center"/>
    </xf>
    <xf numFmtId="0" fontId="22" fillId="0" borderId="0" xfId="0" applyFont="1" applyAlignment="1">
      <alignment horizontal="center"/>
    </xf>
    <xf numFmtId="0" fontId="22" fillId="0" borderId="0" xfId="0" applyFont="1"/>
    <xf numFmtId="0" fontId="22" fillId="0" borderId="0" xfId="0" applyFont="1" applyAlignment="1"/>
    <xf numFmtId="0" fontId="22" fillId="7" borderId="0" xfId="0" applyFont="1" applyFill="1" applyBorder="1" applyAlignment="1">
      <alignment horizontal="center"/>
    </xf>
    <xf numFmtId="0" fontId="0" fillId="7" borderId="0" xfId="0" applyFill="1" applyBorder="1"/>
    <xf numFmtId="0" fontId="22" fillId="0" borderId="0" xfId="0" applyFont="1" applyAlignment="1">
      <alignment horizontal="left"/>
    </xf>
    <xf numFmtId="0" fontId="23" fillId="0" borderId="0" xfId="0" applyFont="1" applyAlignment="1"/>
    <xf numFmtId="0" fontId="0" fillId="0" borderId="0" xfId="0" applyAlignment="1">
      <alignment horizontal="center"/>
    </xf>
    <xf numFmtId="0" fontId="23" fillId="0" borderId="0" xfId="0" applyFont="1" applyAlignment="1">
      <alignment horizontal="center"/>
    </xf>
    <xf numFmtId="0" fontId="3" fillId="0" borderId="0" xfId="0" applyFont="1" applyBorder="1" applyAlignment="1" applyProtection="1">
      <alignment vertical="center"/>
    </xf>
    <xf numFmtId="0" fontId="22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4" xfId="0" applyFont="1" applyBorder="1" applyAlignment="1">
      <alignment horizontal="center" vertical="center" wrapText="1"/>
    </xf>
    <xf numFmtId="0" fontId="0" fillId="0" borderId="0" xfId="0" applyFont="1"/>
    <xf numFmtId="0" fontId="22" fillId="0" borderId="0" xfId="0" applyFont="1" applyAlignment="1">
      <alignment horizontal="center"/>
    </xf>
    <xf numFmtId="0" fontId="2" fillId="3" borderId="4" xfId="0" applyFont="1" applyFill="1" applyBorder="1" applyAlignment="1" applyProtection="1">
      <alignment horizontal="center" vertical="center"/>
    </xf>
    <xf numFmtId="0" fontId="2" fillId="3" borderId="4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wrapText="1"/>
    </xf>
    <xf numFmtId="4" fontId="0" fillId="0" borderId="4" xfId="0" applyNumberFormat="1" applyFont="1" applyBorder="1" applyAlignment="1" applyProtection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2" fontId="0" fillId="0" borderId="4" xfId="0" applyNumberFormat="1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4" fontId="0" fillId="4" borderId="5" xfId="0" applyNumberFormat="1" applyFont="1" applyFill="1" applyBorder="1" applyAlignment="1" applyProtection="1">
      <alignment horizontal="center" vertical="center"/>
    </xf>
    <xf numFmtId="4" fontId="0" fillId="4" borderId="7" xfId="0" applyNumberFormat="1" applyFont="1" applyFill="1" applyBorder="1" applyAlignment="1" applyProtection="1">
      <alignment horizontal="center" vertical="center"/>
    </xf>
    <xf numFmtId="4" fontId="1" fillId="4" borderId="5" xfId="0" applyNumberFormat="1" applyFont="1" applyFill="1" applyBorder="1" applyAlignment="1" applyProtection="1">
      <alignment horizontal="center" vertical="center"/>
    </xf>
    <xf numFmtId="4" fontId="1" fillId="4" borderId="7" xfId="0" applyNumberFormat="1" applyFont="1" applyFill="1" applyBorder="1" applyAlignment="1" applyProtection="1">
      <alignment horizontal="center" vertical="center"/>
    </xf>
    <xf numFmtId="0" fontId="2" fillId="4" borderId="4" xfId="0" applyFont="1" applyFill="1" applyBorder="1" applyAlignment="1" applyProtection="1">
      <alignment horizontal="center" vertical="center"/>
    </xf>
    <xf numFmtId="4" fontId="2" fillId="0" borderId="4" xfId="0" applyNumberFormat="1" applyFont="1" applyBorder="1" applyAlignment="1" applyProtection="1">
      <alignment horizontal="center" vertical="center"/>
    </xf>
    <xf numFmtId="4" fontId="2" fillId="0" borderId="9" xfId="0" applyNumberFormat="1" applyFont="1" applyBorder="1" applyAlignment="1" applyProtection="1">
      <alignment horizontal="center" vertical="center"/>
    </xf>
    <xf numFmtId="4" fontId="2" fillId="0" borderId="10" xfId="0" applyNumberFormat="1" applyFont="1" applyBorder="1" applyAlignment="1" applyProtection="1">
      <alignment horizontal="center" vertical="center"/>
    </xf>
    <xf numFmtId="4" fontId="2" fillId="0" borderId="11" xfId="0" applyNumberFormat="1" applyFont="1" applyBorder="1" applyAlignment="1" applyProtection="1">
      <alignment horizontal="center" vertical="center"/>
    </xf>
    <xf numFmtId="4" fontId="2" fillId="0" borderId="13" xfId="0" applyNumberFormat="1" applyFont="1" applyBorder="1" applyAlignment="1" applyProtection="1">
      <alignment horizontal="center" vertical="center"/>
    </xf>
    <xf numFmtId="4" fontId="2" fillId="0" borderId="2" xfId="0" applyNumberFormat="1" applyFont="1" applyBorder="1" applyAlignment="1" applyProtection="1">
      <alignment horizontal="center" vertical="center"/>
    </xf>
    <xf numFmtId="4" fontId="2" fillId="0" borderId="3" xfId="0" applyNumberFormat="1" applyFont="1" applyBorder="1" applyAlignment="1" applyProtection="1">
      <alignment horizontal="center" vertical="center"/>
    </xf>
    <xf numFmtId="4" fontId="0" fillId="0" borderId="5" xfId="0" applyNumberFormat="1" applyFont="1" applyBorder="1" applyAlignment="1" applyProtection="1">
      <alignment horizontal="center" vertical="center"/>
    </xf>
    <xf numFmtId="4" fontId="1" fillId="0" borderId="6" xfId="0" applyNumberFormat="1" applyFont="1" applyBorder="1" applyAlignment="1" applyProtection="1">
      <alignment horizontal="center" vertical="center"/>
    </xf>
    <xf numFmtId="4" fontId="1" fillId="0" borderId="7" xfId="0" applyNumberFormat="1" applyFont="1" applyBorder="1" applyAlignment="1" applyProtection="1">
      <alignment horizontal="center" vertical="center"/>
    </xf>
    <xf numFmtId="4" fontId="0" fillId="4" borderId="4" xfId="0" applyNumberFormat="1" applyFont="1" applyFill="1" applyBorder="1" applyAlignment="1" applyProtection="1">
      <alignment horizontal="center" vertical="center"/>
    </xf>
    <xf numFmtId="4" fontId="1" fillId="4" borderId="4" xfId="0" applyNumberFormat="1" applyFont="1" applyFill="1" applyBorder="1" applyAlignment="1" applyProtection="1">
      <alignment horizontal="center" vertical="center"/>
    </xf>
    <xf numFmtId="4" fontId="1" fillId="4" borderId="5" xfId="0" applyNumberFormat="1" applyFont="1" applyFill="1" applyBorder="1" applyAlignment="1" applyProtection="1">
      <alignment horizontal="center" vertical="center"/>
      <protection locked="0"/>
    </xf>
    <xf numFmtId="4" fontId="1" fillId="4" borderId="7" xfId="0" applyNumberFormat="1" applyFont="1" applyFill="1" applyBorder="1" applyAlignment="1" applyProtection="1">
      <alignment horizontal="center" vertical="center"/>
      <protection locked="0"/>
    </xf>
    <xf numFmtId="4" fontId="1" fillId="0" borderId="5" xfId="0" applyNumberFormat="1" applyFont="1" applyBorder="1" applyAlignment="1" applyProtection="1">
      <alignment horizontal="center" vertical="center"/>
    </xf>
    <xf numFmtId="0" fontId="2" fillId="3" borderId="4" xfId="0" applyFont="1" applyFill="1" applyBorder="1" applyAlignment="1" applyProtection="1">
      <alignment horizontal="center" vertical="center"/>
    </xf>
    <xf numFmtId="4" fontId="0" fillId="0" borderId="5" xfId="0" applyNumberFormat="1" applyBorder="1" applyAlignment="1" applyProtection="1">
      <alignment horizontal="center" vertical="center"/>
    </xf>
    <xf numFmtId="4" fontId="0" fillId="0" borderId="6" xfId="0" applyNumberFormat="1" applyBorder="1" applyAlignment="1" applyProtection="1">
      <alignment horizontal="center" vertical="center"/>
    </xf>
    <xf numFmtId="4" fontId="0" fillId="0" borderId="7" xfId="0" applyNumberFormat="1" applyBorder="1" applyAlignment="1" applyProtection="1">
      <alignment horizontal="center" vertical="center"/>
    </xf>
    <xf numFmtId="4" fontId="1" fillId="0" borderId="4" xfId="0" applyNumberFormat="1" applyFont="1" applyFill="1" applyBorder="1" applyAlignment="1" applyProtection="1">
      <alignment horizontal="center" vertical="center"/>
    </xf>
    <xf numFmtId="4" fontId="0" fillId="0" borderId="2" xfId="0" applyNumberFormat="1" applyFont="1" applyBorder="1" applyAlignment="1" applyProtection="1">
      <alignment horizontal="center" vertical="center"/>
    </xf>
    <xf numFmtId="4" fontId="0" fillId="0" borderId="3" xfId="0" applyNumberFormat="1" applyFont="1" applyBorder="1" applyAlignment="1" applyProtection="1">
      <alignment horizontal="center" vertical="center"/>
    </xf>
    <xf numFmtId="0" fontId="2" fillId="3" borderId="4" xfId="0" applyFont="1" applyFill="1" applyBorder="1" applyAlignment="1" applyProtection="1">
      <alignment horizontal="center" vertical="center" wrapText="1"/>
    </xf>
    <xf numFmtId="0" fontId="2" fillId="4" borderId="8" xfId="0" applyFont="1" applyFill="1" applyBorder="1" applyAlignment="1" applyProtection="1">
      <alignment horizontal="center" vertical="center"/>
    </xf>
    <xf numFmtId="0" fontId="2" fillId="4" borderId="12" xfId="0" applyFont="1" applyFill="1" applyBorder="1" applyAlignment="1" applyProtection="1">
      <alignment horizontal="center" vertical="center"/>
    </xf>
    <xf numFmtId="4" fontId="2" fillId="4" borderId="8" xfId="0" applyNumberFormat="1" applyFont="1" applyFill="1" applyBorder="1" applyAlignment="1" applyProtection="1">
      <alignment horizontal="center" vertical="center"/>
    </xf>
    <xf numFmtId="4" fontId="2" fillId="4" borderId="12" xfId="0" applyNumberFormat="1" applyFont="1" applyFill="1" applyBorder="1" applyAlignment="1" applyProtection="1">
      <alignment horizontal="center" vertical="center"/>
    </xf>
    <xf numFmtId="4" fontId="2" fillId="4" borderId="9" xfId="0" applyNumberFormat="1" applyFont="1" applyFill="1" applyBorder="1" applyAlignment="1" applyProtection="1">
      <alignment horizontal="center" vertical="center"/>
    </xf>
    <xf numFmtId="4" fontId="2" fillId="4" borderId="10" xfId="0" applyNumberFormat="1" applyFont="1" applyFill="1" applyBorder="1" applyAlignment="1" applyProtection="1">
      <alignment horizontal="center" vertical="center"/>
    </xf>
    <xf numFmtId="4" fontId="2" fillId="4" borderId="11" xfId="0" applyNumberFormat="1" applyFont="1" applyFill="1" applyBorder="1" applyAlignment="1" applyProtection="1">
      <alignment horizontal="center" vertical="center"/>
    </xf>
    <xf numFmtId="4" fontId="2" fillId="4" borderId="13" xfId="0" applyNumberFormat="1" applyFont="1" applyFill="1" applyBorder="1" applyAlignment="1" applyProtection="1">
      <alignment horizontal="center" vertical="center"/>
    </xf>
    <xf numFmtId="4" fontId="2" fillId="4" borderId="2" xfId="0" applyNumberFormat="1" applyFont="1" applyFill="1" applyBorder="1" applyAlignment="1" applyProtection="1">
      <alignment horizontal="center" vertical="center"/>
    </xf>
    <xf numFmtId="4" fontId="2" fillId="4" borderId="3" xfId="0" applyNumberFormat="1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3" fillId="4" borderId="6" xfId="0" applyFont="1" applyFill="1" applyBorder="1" applyAlignment="1" applyProtection="1">
      <alignment horizontal="center" vertical="center"/>
      <protection locked="0"/>
    </xf>
    <xf numFmtId="0" fontId="3" fillId="4" borderId="7" xfId="0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16" fillId="0" borderId="4" xfId="1" applyFont="1" applyFill="1" applyBorder="1" applyAlignment="1">
      <alignment horizontal="center" vertical="center" wrapText="1"/>
    </xf>
    <xf numFmtId="0" fontId="20" fillId="0" borderId="4" xfId="2" applyFont="1" applyBorder="1" applyAlignment="1">
      <alignment horizontal="center" vertical="center" wrapText="1"/>
    </xf>
    <xf numFmtId="4" fontId="16" fillId="0" borderId="4" xfId="1" applyNumberFormat="1" applyFont="1" applyFill="1" applyBorder="1" applyAlignment="1">
      <alignment horizontal="center" vertical="center" wrapText="1"/>
    </xf>
    <xf numFmtId="0" fontId="17" fillId="0" borderId="4" xfId="2" applyFont="1" applyBorder="1" applyAlignment="1">
      <alignment horizontal="center" vertical="center" wrapText="1"/>
    </xf>
    <xf numFmtId="0" fontId="14" fillId="5" borderId="4" xfId="2" applyFont="1" applyFill="1" applyBorder="1" applyAlignment="1">
      <alignment horizontal="center" vertical="center" wrapText="1"/>
    </xf>
    <xf numFmtId="0" fontId="9" fillId="0" borderId="0" xfId="1" applyFont="1" applyBorder="1" applyAlignment="1">
      <alignment horizontal="left" vertical="center" wrapText="1"/>
    </xf>
  </cellXfs>
  <cellStyles count="4">
    <cellStyle name="Normal" xfId="0" builtinId="0"/>
    <cellStyle name="Normal 2" xfId="1"/>
    <cellStyle name="Normal 3" xfId="2"/>
    <cellStyle name="Separador de milhares 2 2" xfId="3"/>
  </cellStyles>
  <dxfs count="2">
    <dxf>
      <fill>
        <patternFill>
          <bgColor indexed="44"/>
        </patternFill>
      </fill>
    </dxf>
    <dxf>
      <fill>
        <patternFill>
          <bgColor indexed="4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67236</xdr:colOff>
      <xdr:row>0</xdr:row>
      <xdr:rowOff>89647</xdr:rowOff>
    </xdr:from>
    <xdr:to>
      <xdr:col>10</xdr:col>
      <xdr:colOff>190500</xdr:colOff>
      <xdr:row>0</xdr:row>
      <xdr:rowOff>1152214</xdr:rowOff>
    </xdr:to>
    <xdr:pic>
      <xdr:nvPicPr>
        <xdr:cNvPr id="2" name="Picture 1" descr="Figura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2354" y="89647"/>
          <a:ext cx="7900146" cy="10625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67236</xdr:colOff>
      <xdr:row>0</xdr:row>
      <xdr:rowOff>89647</xdr:rowOff>
    </xdr:from>
    <xdr:to>
      <xdr:col>10</xdr:col>
      <xdr:colOff>190500</xdr:colOff>
      <xdr:row>0</xdr:row>
      <xdr:rowOff>1152214</xdr:rowOff>
    </xdr:to>
    <xdr:pic>
      <xdr:nvPicPr>
        <xdr:cNvPr id="2" name="Picture 1" descr="Figura2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836" y="89647"/>
          <a:ext cx="8819589" cy="10625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67236</xdr:colOff>
      <xdr:row>0</xdr:row>
      <xdr:rowOff>89647</xdr:rowOff>
    </xdr:from>
    <xdr:to>
      <xdr:col>10</xdr:col>
      <xdr:colOff>190500</xdr:colOff>
      <xdr:row>0</xdr:row>
      <xdr:rowOff>1152214</xdr:rowOff>
    </xdr:to>
    <xdr:pic>
      <xdr:nvPicPr>
        <xdr:cNvPr id="3" name="Picture 1" descr="Figura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1111" y="89647"/>
          <a:ext cx="8876739" cy="10625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219636</xdr:colOff>
      <xdr:row>0</xdr:row>
      <xdr:rowOff>165847</xdr:rowOff>
    </xdr:from>
    <xdr:to>
      <xdr:col>4</xdr:col>
      <xdr:colOff>954716</xdr:colOff>
      <xdr:row>0</xdr:row>
      <xdr:rowOff>1076325</xdr:rowOff>
    </xdr:to>
    <xdr:pic>
      <xdr:nvPicPr>
        <xdr:cNvPr id="2" name="Picture 1" descr="Figura2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9636" y="165847"/>
          <a:ext cx="6754880" cy="9104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219636</xdr:colOff>
      <xdr:row>0</xdr:row>
      <xdr:rowOff>165847</xdr:rowOff>
    </xdr:from>
    <xdr:to>
      <xdr:col>4</xdr:col>
      <xdr:colOff>954716</xdr:colOff>
      <xdr:row>0</xdr:row>
      <xdr:rowOff>1076325</xdr:rowOff>
    </xdr:to>
    <xdr:pic>
      <xdr:nvPicPr>
        <xdr:cNvPr id="2" name="Picture 1" descr="Figura2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9636" y="165847"/>
          <a:ext cx="6592955" cy="9104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4"/>
  <sheetViews>
    <sheetView zoomScale="85" zoomScaleNormal="85" workbookViewId="0">
      <selection activeCell="B48" sqref="B48"/>
    </sheetView>
  </sheetViews>
  <sheetFormatPr defaultRowHeight="15"/>
  <cols>
    <col min="2" max="2" width="29.28515625" customWidth="1"/>
    <col min="3" max="3" width="10" bestFit="1" customWidth="1"/>
    <col min="4" max="4" width="10.28515625" bestFit="1" customWidth="1"/>
    <col min="5" max="5" width="13.140625" bestFit="1" customWidth="1"/>
    <col min="6" max="6" width="13.5703125" bestFit="1" customWidth="1"/>
    <col min="7" max="7" width="13.140625" bestFit="1" customWidth="1"/>
    <col min="8" max="8" width="9.85546875" customWidth="1"/>
    <col min="12" max="12" width="6.7109375" customWidth="1"/>
  </cols>
  <sheetData>
    <row r="1" spans="1:14" ht="95.25" customHeight="1"/>
    <row r="2" spans="1:14" ht="18.75">
      <c r="A2" s="144" t="s">
        <v>15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</row>
    <row r="3" spans="1:14" ht="18.75">
      <c r="A3" s="145" t="s">
        <v>90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7"/>
    </row>
    <row r="4" spans="1:14" ht="18.75">
      <c r="A4" s="148" t="s">
        <v>16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50"/>
    </row>
    <row r="5" spans="1:14">
      <c r="A5" s="72"/>
      <c r="B5" s="73"/>
      <c r="C5" s="74"/>
      <c r="D5" s="74"/>
      <c r="E5" s="74"/>
      <c r="F5" s="74"/>
      <c r="G5" s="74"/>
      <c r="H5" s="74"/>
      <c r="I5" s="74"/>
      <c r="J5" s="74"/>
      <c r="K5" s="74"/>
      <c r="L5" s="75"/>
    </row>
    <row r="6" spans="1:14" ht="18.75">
      <c r="A6" s="151" t="s">
        <v>17</v>
      </c>
      <c r="B6" s="152"/>
      <c r="C6" s="152"/>
      <c r="D6" s="152"/>
      <c r="E6" s="152"/>
      <c r="F6" s="152"/>
      <c r="G6" s="152"/>
      <c r="H6" s="152"/>
      <c r="I6" s="152"/>
      <c r="J6" s="152"/>
      <c r="K6" s="152"/>
      <c r="L6" s="153"/>
    </row>
    <row r="7" spans="1:14">
      <c r="A7" s="1" t="s">
        <v>0</v>
      </c>
      <c r="B7" s="133" t="s">
        <v>18</v>
      </c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2"/>
    </row>
    <row r="8" spans="1:14">
      <c r="A8" s="134" t="s">
        <v>1</v>
      </c>
      <c r="B8" s="134" t="s">
        <v>2</v>
      </c>
      <c r="C8" s="3" t="s">
        <v>3</v>
      </c>
      <c r="D8" s="3" t="s">
        <v>4</v>
      </c>
      <c r="E8" s="3" t="s">
        <v>21</v>
      </c>
      <c r="F8" s="3" t="s">
        <v>5</v>
      </c>
      <c r="G8" s="3" t="s">
        <v>6</v>
      </c>
      <c r="H8" s="136" t="s">
        <v>7</v>
      </c>
      <c r="I8" s="138" t="s">
        <v>8</v>
      </c>
      <c r="J8" s="139"/>
      <c r="K8" s="139"/>
      <c r="L8" s="140"/>
      <c r="M8" s="11"/>
    </row>
    <row r="9" spans="1:14">
      <c r="A9" s="135"/>
      <c r="B9" s="135"/>
      <c r="C9" s="3" t="s">
        <v>9</v>
      </c>
      <c r="D9" s="3" t="s">
        <v>9</v>
      </c>
      <c r="E9" s="3" t="s">
        <v>9</v>
      </c>
      <c r="F9" s="3" t="s">
        <v>10</v>
      </c>
      <c r="G9" s="3" t="s">
        <v>11</v>
      </c>
      <c r="H9" s="137"/>
      <c r="I9" s="141"/>
      <c r="J9" s="142"/>
      <c r="K9" s="142"/>
      <c r="L9" s="143"/>
      <c r="M9" s="10"/>
    </row>
    <row r="10" spans="1:14" ht="63" customHeight="1">
      <c r="A10" s="5" t="s">
        <v>12</v>
      </c>
      <c r="B10" s="6" t="s">
        <v>14</v>
      </c>
      <c r="C10" s="14">
        <v>11.6</v>
      </c>
      <c r="D10" s="14">
        <v>1061.4689659999999</v>
      </c>
      <c r="E10" s="7"/>
      <c r="F10" s="7"/>
      <c r="G10" s="7"/>
      <c r="H10" s="7">
        <f>C10*D10</f>
        <v>12313.040005599998</v>
      </c>
      <c r="I10" s="127" t="s">
        <v>13</v>
      </c>
      <c r="J10" s="128"/>
      <c r="K10" s="128"/>
      <c r="L10" s="129"/>
      <c r="M10" s="12"/>
    </row>
    <row r="11" spans="1:14" ht="37.5" customHeight="1">
      <c r="A11" s="5" t="s">
        <v>22</v>
      </c>
      <c r="B11" s="69" t="s">
        <v>20</v>
      </c>
      <c r="C11" s="9">
        <f>C10</f>
        <v>11.6</v>
      </c>
      <c r="D11" s="9">
        <f>D10</f>
        <v>1061.4689659999999</v>
      </c>
      <c r="E11" s="7"/>
      <c r="F11" s="7"/>
      <c r="G11" s="7"/>
      <c r="H11" s="7">
        <f>C11*D11</f>
        <v>12313.040005599998</v>
      </c>
      <c r="I11" s="127" t="s">
        <v>13</v>
      </c>
      <c r="J11" s="128"/>
      <c r="K11" s="128"/>
      <c r="L11" s="129"/>
      <c r="M11" s="10"/>
    </row>
    <row r="12" spans="1:14" ht="90">
      <c r="A12" s="5" t="s">
        <v>27</v>
      </c>
      <c r="B12" s="6" t="s">
        <v>23</v>
      </c>
      <c r="C12" s="9">
        <f>C11</f>
        <v>11.6</v>
      </c>
      <c r="D12" s="9">
        <f>D11</f>
        <v>1061.4689659999999</v>
      </c>
      <c r="E12" s="7">
        <v>0.05</v>
      </c>
      <c r="F12" s="7"/>
      <c r="G12" s="7"/>
      <c r="H12" s="7">
        <f>C12*D12*E12</f>
        <v>615.65200027999992</v>
      </c>
      <c r="I12" s="127" t="s">
        <v>24</v>
      </c>
      <c r="J12" s="128"/>
      <c r="K12" s="128"/>
      <c r="L12" s="129"/>
      <c r="N12" s="13"/>
    </row>
    <row r="13" spans="1:14" ht="60">
      <c r="A13" s="5" t="s">
        <v>28</v>
      </c>
      <c r="B13" s="8" t="s">
        <v>25</v>
      </c>
      <c r="C13" s="7"/>
      <c r="D13" s="7"/>
      <c r="E13" s="7"/>
      <c r="F13" s="7">
        <f>H12</f>
        <v>615.65200027999992</v>
      </c>
      <c r="G13" s="14">
        <v>59</v>
      </c>
      <c r="H13" s="7">
        <f>F13*G13</f>
        <v>36323.468016519997</v>
      </c>
      <c r="I13" s="127" t="s">
        <v>26</v>
      </c>
      <c r="J13" s="128"/>
      <c r="K13" s="128"/>
      <c r="L13" s="129"/>
    </row>
    <row r="14" spans="1:14">
      <c r="A14" s="1" t="s">
        <v>29</v>
      </c>
      <c r="B14" s="133" t="s">
        <v>30</v>
      </c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2"/>
    </row>
    <row r="15" spans="1:14">
      <c r="A15" s="134" t="s">
        <v>1</v>
      </c>
      <c r="B15" s="134" t="s">
        <v>2</v>
      </c>
      <c r="C15" s="3" t="s">
        <v>31</v>
      </c>
      <c r="D15" s="3" t="s">
        <v>32</v>
      </c>
      <c r="E15" s="3" t="s">
        <v>34</v>
      </c>
      <c r="F15" s="3" t="s">
        <v>5</v>
      </c>
      <c r="G15" s="3" t="s">
        <v>6</v>
      </c>
      <c r="H15" s="136" t="s">
        <v>7</v>
      </c>
      <c r="I15" s="138" t="s">
        <v>8</v>
      </c>
      <c r="J15" s="139"/>
      <c r="K15" s="139"/>
      <c r="L15" s="140"/>
      <c r="M15" s="11"/>
    </row>
    <row r="16" spans="1:14">
      <c r="A16" s="135"/>
      <c r="B16" s="135"/>
      <c r="C16" s="3" t="s">
        <v>9</v>
      </c>
      <c r="D16" s="3" t="s">
        <v>33</v>
      </c>
      <c r="E16" s="3" t="s">
        <v>59</v>
      </c>
      <c r="F16" s="3" t="s">
        <v>10</v>
      </c>
      <c r="G16" s="3" t="s">
        <v>11</v>
      </c>
      <c r="H16" s="137"/>
      <c r="I16" s="141"/>
      <c r="J16" s="142"/>
      <c r="K16" s="142"/>
      <c r="L16" s="143"/>
      <c r="M16" s="10"/>
    </row>
    <row r="17" spans="1:14" ht="75">
      <c r="A17" s="5" t="s">
        <v>19</v>
      </c>
      <c r="B17" s="8" t="s">
        <v>79</v>
      </c>
      <c r="C17" s="9">
        <v>0.6</v>
      </c>
      <c r="D17" s="9">
        <f>(PI()*(C17^2))/4</f>
        <v>0.28274333882308139</v>
      </c>
      <c r="E17" s="7">
        <v>8</v>
      </c>
      <c r="F17" s="7"/>
      <c r="G17" s="7"/>
      <c r="H17" s="7">
        <f>D17*E17</f>
        <v>2.2619467105846511</v>
      </c>
      <c r="I17" s="127" t="s">
        <v>13</v>
      </c>
      <c r="J17" s="128"/>
      <c r="K17" s="128"/>
      <c r="L17" s="129"/>
      <c r="N17" s="13"/>
    </row>
    <row r="18" spans="1:14" ht="30">
      <c r="A18" s="5" t="s">
        <v>35</v>
      </c>
      <c r="B18" s="6" t="s">
        <v>36</v>
      </c>
      <c r="C18" s="9"/>
      <c r="D18" s="9"/>
      <c r="E18" s="7">
        <v>8</v>
      </c>
      <c r="F18" s="7"/>
      <c r="G18" s="7"/>
      <c r="H18" s="7">
        <f>E18</f>
        <v>8</v>
      </c>
      <c r="I18" s="127" t="s">
        <v>37</v>
      </c>
      <c r="J18" s="128"/>
      <c r="K18" s="128"/>
      <c r="L18" s="129"/>
      <c r="N18" s="13"/>
    </row>
    <row r="19" spans="1:14">
      <c r="A19" s="70" t="s">
        <v>52</v>
      </c>
      <c r="B19" s="126" t="s">
        <v>53</v>
      </c>
      <c r="C19" s="126"/>
      <c r="D19" s="126"/>
      <c r="E19" s="126"/>
      <c r="F19" s="126"/>
      <c r="G19" s="126"/>
      <c r="H19" s="126"/>
      <c r="I19" s="126"/>
      <c r="J19" s="126"/>
      <c r="K19" s="126"/>
      <c r="L19" s="126"/>
    </row>
    <row r="20" spans="1:14">
      <c r="A20" s="110" t="s">
        <v>1</v>
      </c>
      <c r="B20" s="110" t="s">
        <v>2</v>
      </c>
      <c r="C20" s="111" t="s">
        <v>54</v>
      </c>
      <c r="D20" s="111"/>
      <c r="E20" s="4" t="s">
        <v>55</v>
      </c>
      <c r="F20" s="4" t="s">
        <v>56</v>
      </c>
      <c r="G20" s="4" t="s">
        <v>34</v>
      </c>
      <c r="H20" s="111" t="s">
        <v>7</v>
      </c>
      <c r="I20" s="112" t="s">
        <v>8</v>
      </c>
      <c r="J20" s="113"/>
      <c r="K20" s="113"/>
      <c r="L20" s="114"/>
    </row>
    <row r="21" spans="1:14">
      <c r="A21" s="110"/>
      <c r="B21" s="110"/>
      <c r="C21" s="111" t="s">
        <v>9</v>
      </c>
      <c r="D21" s="111"/>
      <c r="E21" s="4" t="s">
        <v>9</v>
      </c>
      <c r="F21" s="4" t="s">
        <v>9</v>
      </c>
      <c r="G21" s="15" t="s">
        <v>59</v>
      </c>
      <c r="H21" s="111"/>
      <c r="I21" s="115"/>
      <c r="J21" s="116"/>
      <c r="K21" s="116"/>
      <c r="L21" s="117"/>
    </row>
    <row r="22" spans="1:14" ht="105">
      <c r="A22" s="25" t="s">
        <v>57</v>
      </c>
      <c r="B22" s="26" t="s">
        <v>58</v>
      </c>
      <c r="C22" s="130">
        <v>2.2000000000000002</v>
      </c>
      <c r="D22" s="130"/>
      <c r="E22" s="23">
        <v>1.2</v>
      </c>
      <c r="F22" s="23">
        <v>1.2</v>
      </c>
      <c r="G22" s="14">
        <v>18</v>
      </c>
      <c r="H22" s="20">
        <f>(((C22+E22)*F22)/2)*G22</f>
        <v>36.72</v>
      </c>
      <c r="I22" s="131" t="s">
        <v>13</v>
      </c>
      <c r="J22" s="131"/>
      <c r="K22" s="131"/>
      <c r="L22" s="132"/>
    </row>
    <row r="23" spans="1:14">
      <c r="A23" s="70" t="s">
        <v>38</v>
      </c>
      <c r="B23" s="126" t="s">
        <v>39</v>
      </c>
      <c r="C23" s="126"/>
      <c r="D23" s="126"/>
      <c r="E23" s="126"/>
      <c r="F23" s="126"/>
      <c r="G23" s="126"/>
      <c r="H23" s="126"/>
      <c r="I23" s="126"/>
      <c r="J23" s="126"/>
      <c r="K23" s="126"/>
      <c r="L23" s="126"/>
    </row>
    <row r="24" spans="1:14" ht="30">
      <c r="A24" s="110" t="s">
        <v>74</v>
      </c>
      <c r="B24" s="110" t="s">
        <v>2</v>
      </c>
      <c r="C24" s="4" t="s">
        <v>3</v>
      </c>
      <c r="D24" s="4" t="s">
        <v>4</v>
      </c>
      <c r="E24" s="15" t="s">
        <v>40</v>
      </c>
      <c r="F24" s="4" t="s">
        <v>41</v>
      </c>
      <c r="G24" s="111" t="s">
        <v>7</v>
      </c>
      <c r="H24" s="112" t="s">
        <v>8</v>
      </c>
      <c r="I24" s="113"/>
      <c r="J24" s="113"/>
      <c r="K24" s="113"/>
      <c r="L24" s="114"/>
    </row>
    <row r="25" spans="1:14">
      <c r="A25" s="110"/>
      <c r="B25" s="110"/>
      <c r="C25" s="4" t="s">
        <v>9</v>
      </c>
      <c r="D25" s="4" t="s">
        <v>9</v>
      </c>
      <c r="E25" s="4" t="s">
        <v>59</v>
      </c>
      <c r="F25" s="4" t="s">
        <v>59</v>
      </c>
      <c r="G25" s="111"/>
      <c r="H25" s="115"/>
      <c r="I25" s="116"/>
      <c r="J25" s="116"/>
      <c r="K25" s="116"/>
      <c r="L25" s="117"/>
    </row>
    <row r="26" spans="1:14" ht="75">
      <c r="A26" s="5" t="s">
        <v>92</v>
      </c>
      <c r="B26" s="17" t="s">
        <v>42</v>
      </c>
      <c r="C26" s="18">
        <v>0.1</v>
      </c>
      <c r="D26" s="18">
        <v>1099.9000000000001</v>
      </c>
      <c r="E26" s="19" t="s">
        <v>43</v>
      </c>
      <c r="F26" s="27">
        <v>1</v>
      </c>
      <c r="G26" s="20">
        <f>C26*D26*F26</f>
        <v>109.99000000000001</v>
      </c>
      <c r="H26" s="125" t="s">
        <v>13</v>
      </c>
      <c r="I26" s="119"/>
      <c r="J26" s="119"/>
      <c r="K26" s="119"/>
      <c r="L26" s="120"/>
    </row>
    <row r="27" spans="1:14" ht="75">
      <c r="A27" s="5" t="s">
        <v>93</v>
      </c>
      <c r="B27" s="17" t="s">
        <v>44</v>
      </c>
      <c r="C27" s="21">
        <v>0.4</v>
      </c>
      <c r="D27" s="18">
        <v>3</v>
      </c>
      <c r="E27" s="18">
        <f>C10/(2*C27)</f>
        <v>14.499999999999998</v>
      </c>
      <c r="F27" s="22">
        <v>18</v>
      </c>
      <c r="G27" s="20">
        <f>C27*D27*E27*F27</f>
        <v>313.20000000000005</v>
      </c>
      <c r="H27" s="118" t="s">
        <v>13</v>
      </c>
      <c r="I27" s="119"/>
      <c r="J27" s="119"/>
      <c r="K27" s="119"/>
      <c r="L27" s="120"/>
    </row>
    <row r="28" spans="1:14" ht="45">
      <c r="A28" s="5" t="s">
        <v>94</v>
      </c>
      <c r="B28" s="17" t="s">
        <v>45</v>
      </c>
      <c r="C28" s="18">
        <v>0.4</v>
      </c>
      <c r="D28" s="23">
        <f>+E22</f>
        <v>1.2</v>
      </c>
      <c r="E28" s="19" t="s">
        <v>43</v>
      </c>
      <c r="F28" s="18">
        <f>G22</f>
        <v>18</v>
      </c>
      <c r="G28" s="20">
        <f>(D28/C28)*F28</f>
        <v>53.999999999999993</v>
      </c>
      <c r="H28" s="118" t="s">
        <v>46</v>
      </c>
      <c r="I28" s="119"/>
      <c r="J28" s="119"/>
      <c r="K28" s="119"/>
      <c r="L28" s="120"/>
    </row>
    <row r="29" spans="1:14">
      <c r="A29" s="110" t="s">
        <v>95</v>
      </c>
      <c r="B29" s="110" t="s">
        <v>2</v>
      </c>
      <c r="C29" s="111" t="s">
        <v>47</v>
      </c>
      <c r="D29" s="111"/>
      <c r="E29" s="111" t="s">
        <v>48</v>
      </c>
      <c r="F29" s="111"/>
      <c r="G29" s="111" t="s">
        <v>7</v>
      </c>
      <c r="H29" s="112" t="s">
        <v>8</v>
      </c>
      <c r="I29" s="113"/>
      <c r="J29" s="113"/>
      <c r="K29" s="113"/>
      <c r="L29" s="114"/>
    </row>
    <row r="30" spans="1:14">
      <c r="A30" s="110"/>
      <c r="B30" s="110"/>
      <c r="C30" s="111" t="s">
        <v>33</v>
      </c>
      <c r="D30" s="111"/>
      <c r="E30" s="111" t="s">
        <v>59</v>
      </c>
      <c r="F30" s="111"/>
      <c r="G30" s="111"/>
      <c r="H30" s="115"/>
      <c r="I30" s="116"/>
      <c r="J30" s="116"/>
      <c r="K30" s="116"/>
      <c r="L30" s="117"/>
    </row>
    <row r="31" spans="1:14" ht="60">
      <c r="A31" s="5" t="s">
        <v>96</v>
      </c>
      <c r="B31" s="24" t="s">
        <v>80</v>
      </c>
      <c r="C31" s="121">
        <v>0.38400000000000001</v>
      </c>
      <c r="D31" s="122"/>
      <c r="E31" s="123">
        <v>9</v>
      </c>
      <c r="F31" s="124"/>
      <c r="G31" s="20">
        <f>E31*C31</f>
        <v>3.456</v>
      </c>
      <c r="H31" s="125" t="s">
        <v>13</v>
      </c>
      <c r="I31" s="119"/>
      <c r="J31" s="119"/>
      <c r="K31" s="119"/>
      <c r="L31" s="120"/>
    </row>
    <row r="32" spans="1:14">
      <c r="A32" s="110" t="s">
        <v>97</v>
      </c>
      <c r="B32" s="110" t="s">
        <v>2</v>
      </c>
      <c r="C32" s="111" t="s">
        <v>49</v>
      </c>
      <c r="D32" s="111"/>
      <c r="E32" s="111" t="s">
        <v>48</v>
      </c>
      <c r="F32" s="111"/>
      <c r="G32" s="111" t="s">
        <v>7</v>
      </c>
      <c r="H32" s="112" t="s">
        <v>8</v>
      </c>
      <c r="I32" s="113"/>
      <c r="J32" s="113"/>
      <c r="K32" s="113"/>
      <c r="L32" s="114"/>
    </row>
    <row r="33" spans="1:12">
      <c r="A33" s="110"/>
      <c r="B33" s="110"/>
      <c r="C33" s="111" t="s">
        <v>9</v>
      </c>
      <c r="D33" s="111"/>
      <c r="E33" s="111" t="s">
        <v>59</v>
      </c>
      <c r="F33" s="111"/>
      <c r="G33" s="111"/>
      <c r="H33" s="115"/>
      <c r="I33" s="116"/>
      <c r="J33" s="116"/>
      <c r="K33" s="116"/>
      <c r="L33" s="117"/>
    </row>
    <row r="34" spans="1:12" ht="60">
      <c r="A34" s="5" t="s">
        <v>98</v>
      </c>
      <c r="B34" s="24" t="s">
        <v>51</v>
      </c>
      <c r="C34" s="106">
        <v>3.5</v>
      </c>
      <c r="D34" s="107"/>
      <c r="E34" s="108">
        <f>SUM(E31:F31)</f>
        <v>9</v>
      </c>
      <c r="F34" s="109"/>
      <c r="G34" s="20">
        <f>C34*E34</f>
        <v>31.5</v>
      </c>
      <c r="H34" s="118" t="s">
        <v>50</v>
      </c>
      <c r="I34" s="119"/>
      <c r="J34" s="119"/>
      <c r="K34" s="119"/>
      <c r="L34" s="120"/>
    </row>
    <row r="35" spans="1:12" s="77" customFormat="1">
      <c r="A35" s="76"/>
    </row>
    <row r="36" spans="1:12" ht="15.75">
      <c r="A36" s="104" t="s">
        <v>108</v>
      </c>
      <c r="B36" s="104"/>
      <c r="C36" s="104"/>
      <c r="D36" s="104"/>
      <c r="E36" s="104"/>
      <c r="F36" s="104"/>
      <c r="G36" s="78"/>
      <c r="H36" s="78"/>
      <c r="I36" s="78"/>
      <c r="J36" s="78"/>
      <c r="K36" s="79"/>
    </row>
    <row r="37" spans="1:12" ht="15.75">
      <c r="A37" s="76"/>
      <c r="B37" s="76"/>
      <c r="C37" s="76"/>
      <c r="D37" s="76"/>
      <c r="E37" s="76"/>
      <c r="F37" s="76"/>
      <c r="G37" s="78"/>
      <c r="H37" s="78"/>
      <c r="I37" s="78"/>
      <c r="J37" s="78"/>
      <c r="K37" s="79"/>
    </row>
    <row r="38" spans="1:12" ht="15.75">
      <c r="A38" s="76"/>
      <c r="B38" s="76"/>
      <c r="C38" s="78"/>
      <c r="D38" s="78"/>
      <c r="E38" s="78"/>
      <c r="F38" s="78"/>
      <c r="G38" s="76"/>
      <c r="H38" s="76"/>
      <c r="K38" s="80"/>
    </row>
    <row r="39" spans="1:12" ht="15.75">
      <c r="A39" s="76"/>
      <c r="B39" s="76"/>
      <c r="F39" s="81" t="s">
        <v>99</v>
      </c>
      <c r="G39" s="76"/>
      <c r="H39" s="76"/>
      <c r="K39" s="80"/>
    </row>
    <row r="40" spans="1:12" ht="15.75">
      <c r="B40" s="104" t="s">
        <v>100</v>
      </c>
      <c r="C40" s="104"/>
      <c r="D40" s="104"/>
      <c r="E40" s="78"/>
      <c r="G40" s="104" t="s">
        <v>101</v>
      </c>
      <c r="H40" s="104"/>
      <c r="I40" s="104"/>
      <c r="J40" s="104"/>
      <c r="K40" s="104"/>
    </row>
    <row r="41" spans="1:12" ht="15.75">
      <c r="B41" s="105" t="s">
        <v>111</v>
      </c>
      <c r="C41" s="105"/>
      <c r="D41" s="105"/>
      <c r="E41" s="82"/>
      <c r="G41" s="105" t="s">
        <v>102</v>
      </c>
      <c r="H41" s="105"/>
      <c r="I41" s="105"/>
      <c r="J41" s="105"/>
      <c r="K41" s="105"/>
    </row>
    <row r="42" spans="1:12" ht="15.75">
      <c r="B42" s="104" t="s">
        <v>103</v>
      </c>
      <c r="C42" s="104"/>
      <c r="D42" s="104"/>
      <c r="E42" s="78"/>
      <c r="G42" s="104" t="s">
        <v>104</v>
      </c>
      <c r="H42" s="104"/>
      <c r="I42" s="104"/>
      <c r="J42" s="104"/>
      <c r="K42" s="104"/>
    </row>
    <row r="43" spans="1:12" ht="15.75">
      <c r="B43" s="104" t="s">
        <v>107</v>
      </c>
      <c r="C43" s="104"/>
      <c r="D43" s="104"/>
      <c r="E43" s="83"/>
      <c r="F43" s="78"/>
      <c r="G43" s="78"/>
      <c r="H43" s="78"/>
      <c r="I43" s="78"/>
      <c r="J43" s="78"/>
      <c r="K43" s="79"/>
    </row>
    <row r="44" spans="1:12" ht="15.75">
      <c r="B44" s="104" t="s">
        <v>110</v>
      </c>
      <c r="C44" s="104"/>
      <c r="D44" s="104"/>
      <c r="E44" s="83"/>
      <c r="F44" s="78"/>
      <c r="G44" s="78"/>
      <c r="H44" s="78"/>
      <c r="I44" s="78"/>
      <c r="J44" s="78"/>
      <c r="K44" s="79"/>
    </row>
  </sheetData>
  <mergeCells count="68">
    <mergeCell ref="A8:A9"/>
    <mergeCell ref="B8:B9"/>
    <mergeCell ref="A2:L2"/>
    <mergeCell ref="A3:L3"/>
    <mergeCell ref="A4:L4"/>
    <mergeCell ref="A6:L6"/>
    <mergeCell ref="B7:L7"/>
    <mergeCell ref="I11:L11"/>
    <mergeCell ref="H8:H9"/>
    <mergeCell ref="I8:L9"/>
    <mergeCell ref="I10:L10"/>
    <mergeCell ref="I12:L12"/>
    <mergeCell ref="I13:L13"/>
    <mergeCell ref="B14:L14"/>
    <mergeCell ref="A15:A16"/>
    <mergeCell ref="B15:B16"/>
    <mergeCell ref="H15:H16"/>
    <mergeCell ref="I15:L16"/>
    <mergeCell ref="A20:A21"/>
    <mergeCell ref="B20:B21"/>
    <mergeCell ref="C20:D20"/>
    <mergeCell ref="H20:H21"/>
    <mergeCell ref="I20:L21"/>
    <mergeCell ref="C21:D21"/>
    <mergeCell ref="H26:L26"/>
    <mergeCell ref="H28:L28"/>
    <mergeCell ref="I17:L17"/>
    <mergeCell ref="I18:L18"/>
    <mergeCell ref="B19:L19"/>
    <mergeCell ref="C22:D22"/>
    <mergeCell ref="I22:L22"/>
    <mergeCell ref="C29:D29"/>
    <mergeCell ref="E29:F29"/>
    <mergeCell ref="C30:D30"/>
    <mergeCell ref="E30:F30"/>
    <mergeCell ref="H27:L27"/>
    <mergeCell ref="A24:A25"/>
    <mergeCell ref="B24:B25"/>
    <mergeCell ref="G24:G25"/>
    <mergeCell ref="H24:L25"/>
    <mergeCell ref="B23:L23"/>
    <mergeCell ref="A29:A30"/>
    <mergeCell ref="B29:B30"/>
    <mergeCell ref="G29:G30"/>
    <mergeCell ref="H29:L30"/>
    <mergeCell ref="H34:L34"/>
    <mergeCell ref="C31:D31"/>
    <mergeCell ref="E31:F31"/>
    <mergeCell ref="H31:L31"/>
    <mergeCell ref="H32:L33"/>
    <mergeCell ref="A32:A33"/>
    <mergeCell ref="B32:B33"/>
    <mergeCell ref="C32:D32"/>
    <mergeCell ref="E32:F32"/>
    <mergeCell ref="G32:G33"/>
    <mergeCell ref="C33:D33"/>
    <mergeCell ref="E33:F33"/>
    <mergeCell ref="B43:D43"/>
    <mergeCell ref="B44:D44"/>
    <mergeCell ref="A36:F36"/>
    <mergeCell ref="C34:D34"/>
    <mergeCell ref="E34:F34"/>
    <mergeCell ref="G40:K40"/>
    <mergeCell ref="G41:K41"/>
    <mergeCell ref="G42:K42"/>
    <mergeCell ref="B40:D40"/>
    <mergeCell ref="B41:D41"/>
    <mergeCell ref="B42:D42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55" orientation="portrait" horizontalDpi="0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88"/>
  <sheetViews>
    <sheetView tabSelected="1" zoomScale="70" zoomScaleNormal="70" workbookViewId="0">
      <selection sqref="A1:K86"/>
    </sheetView>
  </sheetViews>
  <sheetFormatPr defaultColWidth="9.140625" defaultRowHeight="15"/>
  <cols>
    <col min="1" max="1" width="7.85546875" style="28" customWidth="1"/>
    <col min="2" max="2" width="10.5703125" style="28" customWidth="1"/>
    <col min="3" max="3" width="9.140625" style="28"/>
    <col min="4" max="4" width="11.85546875" style="28" customWidth="1"/>
    <col min="5" max="5" width="33.42578125" style="28" customWidth="1"/>
    <col min="6" max="6" width="8.140625" style="28" customWidth="1"/>
    <col min="7" max="7" width="17.42578125" style="50" customWidth="1"/>
    <col min="8" max="8" width="14.42578125" style="50" customWidth="1"/>
    <col min="9" max="9" width="11.85546875" style="50" customWidth="1"/>
    <col min="10" max="11" width="14.42578125" style="50" customWidth="1"/>
    <col min="12" max="16384" width="9.140625" style="28"/>
  </cols>
  <sheetData>
    <row r="1" spans="1:14" customFormat="1" ht="95.25" customHeight="1">
      <c r="A1" t="s">
        <v>128</v>
      </c>
    </row>
    <row r="2" spans="1:14" customFormat="1" ht="18.75">
      <c r="A2" s="158" t="s">
        <v>129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85"/>
    </row>
    <row r="3" spans="1:14" ht="18.75">
      <c r="A3" s="162" t="s">
        <v>78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N3" s="90" t="s">
        <v>128</v>
      </c>
    </row>
    <row r="4" spans="1:14" ht="18.75">
      <c r="A4" s="163" t="s">
        <v>146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</row>
    <row r="5" spans="1:14" ht="18.75">
      <c r="A5" s="29"/>
      <c r="B5" s="94"/>
      <c r="C5" s="94"/>
      <c r="D5" s="94"/>
      <c r="E5" s="94"/>
      <c r="F5" s="94"/>
      <c r="G5" s="30"/>
      <c r="H5" s="30"/>
      <c r="I5" s="164" t="s">
        <v>60</v>
      </c>
      <c r="J5" s="164"/>
      <c r="K5" s="31">
        <v>14.02</v>
      </c>
    </row>
    <row r="6" spans="1:14">
      <c r="A6" s="32" t="s">
        <v>192</v>
      </c>
      <c r="B6" s="96"/>
      <c r="C6" s="96"/>
      <c r="D6" s="96"/>
      <c r="E6" s="96"/>
      <c r="F6" s="96"/>
      <c r="G6" s="33"/>
      <c r="H6" s="34"/>
      <c r="I6" s="164" t="s">
        <v>61</v>
      </c>
      <c r="J6" s="164"/>
      <c r="K6" s="31">
        <v>23.52</v>
      </c>
    </row>
    <row r="7" spans="1:14">
      <c r="A7" s="35"/>
      <c r="B7" s="96"/>
      <c r="C7" s="96"/>
      <c r="D7" s="96"/>
      <c r="E7" s="96"/>
      <c r="F7" s="96"/>
      <c r="G7" s="33"/>
      <c r="H7" s="34"/>
      <c r="I7" s="34"/>
      <c r="J7" s="33"/>
      <c r="K7" s="31"/>
    </row>
    <row r="8" spans="1:14" ht="18.75">
      <c r="A8" s="159" t="s">
        <v>119</v>
      </c>
      <c r="B8" s="160"/>
      <c r="C8" s="160"/>
      <c r="D8" s="160"/>
      <c r="E8" s="160"/>
      <c r="F8" s="160"/>
      <c r="G8" s="160"/>
      <c r="H8" s="160"/>
      <c r="I8" s="160"/>
      <c r="J8" s="160"/>
      <c r="K8" s="161"/>
      <c r="M8" s="36"/>
    </row>
    <row r="9" spans="1:14" ht="51.75">
      <c r="A9" s="95" t="s">
        <v>1</v>
      </c>
      <c r="B9" s="95" t="s">
        <v>62</v>
      </c>
      <c r="C9" s="95" t="s">
        <v>63</v>
      </c>
      <c r="D9" s="37" t="s">
        <v>64</v>
      </c>
      <c r="E9" s="95" t="s">
        <v>2</v>
      </c>
      <c r="F9" s="95" t="s">
        <v>65</v>
      </c>
      <c r="G9" s="38" t="s">
        <v>66</v>
      </c>
      <c r="H9" s="38" t="s">
        <v>67</v>
      </c>
      <c r="I9" s="38" t="s">
        <v>68</v>
      </c>
      <c r="J9" s="38" t="s">
        <v>69</v>
      </c>
      <c r="K9" s="38" t="s">
        <v>70</v>
      </c>
    </row>
    <row r="10" spans="1:14" ht="39" customHeight="1">
      <c r="A10" s="92">
        <v>1</v>
      </c>
      <c r="B10" s="39"/>
      <c r="C10" s="39"/>
      <c r="D10" s="39"/>
      <c r="E10" s="93" t="s">
        <v>130</v>
      </c>
      <c r="F10" s="40"/>
      <c r="G10" s="41"/>
      <c r="H10" s="41"/>
      <c r="I10" s="41"/>
      <c r="J10" s="41"/>
      <c r="K10" s="41"/>
    </row>
    <row r="11" spans="1:14" ht="84" customHeight="1">
      <c r="A11" s="16" t="s">
        <v>12</v>
      </c>
      <c r="B11" s="97">
        <v>92970</v>
      </c>
      <c r="C11" s="24" t="s">
        <v>71</v>
      </c>
      <c r="D11" s="24" t="s">
        <v>72</v>
      </c>
      <c r="E11" s="98" t="s">
        <v>131</v>
      </c>
      <c r="F11" s="16" t="s">
        <v>13</v>
      </c>
      <c r="G11" s="99">
        <f>6*5</f>
        <v>30</v>
      </c>
      <c r="H11" s="99">
        <v>14.12</v>
      </c>
      <c r="I11" s="99">
        <f>IF(D11="S",H11*1.2352,H11*1.1402)</f>
        <v>17.441023999999999</v>
      </c>
      <c r="J11" s="99">
        <f t="shared" ref="J11:J21" si="0">G11*H11</f>
        <v>423.59999999999997</v>
      </c>
      <c r="K11" s="99">
        <f t="shared" ref="K11:K21" si="1">I11*G11</f>
        <v>523.23072000000002</v>
      </c>
    </row>
    <row r="12" spans="1:14" ht="81" customHeight="1">
      <c r="A12" s="16" t="s">
        <v>22</v>
      </c>
      <c r="B12" s="97">
        <v>72897</v>
      </c>
      <c r="C12" s="24" t="s">
        <v>71</v>
      </c>
      <c r="D12" s="24" t="s">
        <v>72</v>
      </c>
      <c r="E12" s="100" t="s">
        <v>132</v>
      </c>
      <c r="F12" s="16" t="s">
        <v>24</v>
      </c>
      <c r="G12" s="99">
        <f>30*0.15*2</f>
        <v>9</v>
      </c>
      <c r="H12" s="99">
        <v>24.41</v>
      </c>
      <c r="I12" s="99">
        <f>IF(D12="S",H12*1.2352,H12*1.1402)</f>
        <v>30.151232</v>
      </c>
      <c r="J12" s="99">
        <f t="shared" si="0"/>
        <v>219.69</v>
      </c>
      <c r="K12" s="99">
        <f t="shared" si="1"/>
        <v>271.361088</v>
      </c>
    </row>
    <row r="13" spans="1:14" ht="91.5" customHeight="1">
      <c r="A13" s="16" t="s">
        <v>27</v>
      </c>
      <c r="B13" s="24">
        <v>72900</v>
      </c>
      <c r="C13" s="24" t="s">
        <v>71</v>
      </c>
      <c r="D13" s="24" t="s">
        <v>72</v>
      </c>
      <c r="E13" s="100" t="s">
        <v>124</v>
      </c>
      <c r="F13" s="16" t="s">
        <v>123</v>
      </c>
      <c r="G13" s="99">
        <f>G12*10</f>
        <v>90</v>
      </c>
      <c r="H13" s="99">
        <v>4.59</v>
      </c>
      <c r="I13" s="99">
        <f t="shared" ref="I13:I21" si="2">IF(D13="S",H13*1.2352,H13*1.1402)</f>
        <v>5.6695679999999999</v>
      </c>
      <c r="J13" s="99">
        <f t="shared" si="0"/>
        <v>413.09999999999997</v>
      </c>
      <c r="K13" s="99">
        <f t="shared" si="1"/>
        <v>510.26112000000001</v>
      </c>
    </row>
    <row r="14" spans="1:14" ht="159.75" customHeight="1">
      <c r="A14" s="16" t="s">
        <v>28</v>
      </c>
      <c r="B14" s="8">
        <v>90102</v>
      </c>
      <c r="C14" s="24" t="s">
        <v>71</v>
      </c>
      <c r="D14" s="24" t="s">
        <v>72</v>
      </c>
      <c r="E14" s="100" t="s">
        <v>133</v>
      </c>
      <c r="F14" s="16" t="s">
        <v>24</v>
      </c>
      <c r="G14" s="99">
        <f>3*6*5</f>
        <v>90</v>
      </c>
      <c r="H14" s="99">
        <v>9.07</v>
      </c>
      <c r="I14" s="99">
        <f t="shared" si="2"/>
        <v>11.203264000000001</v>
      </c>
      <c r="J14" s="99">
        <f t="shared" si="0"/>
        <v>816.30000000000007</v>
      </c>
      <c r="K14" s="99">
        <f t="shared" si="1"/>
        <v>1008.29376</v>
      </c>
    </row>
    <row r="15" spans="1:14" ht="120.75" customHeight="1">
      <c r="A15" s="16" t="s">
        <v>112</v>
      </c>
      <c r="B15" s="97">
        <v>94318</v>
      </c>
      <c r="C15" s="24" t="s">
        <v>71</v>
      </c>
      <c r="D15" s="24" t="s">
        <v>72</v>
      </c>
      <c r="E15" s="100" t="s">
        <v>136</v>
      </c>
      <c r="F15" s="16" t="s">
        <v>24</v>
      </c>
      <c r="G15" s="99">
        <f>G14</f>
        <v>90</v>
      </c>
      <c r="H15" s="99">
        <v>18.760000000000002</v>
      </c>
      <c r="I15" s="99">
        <f t="shared" si="2"/>
        <v>23.172352000000004</v>
      </c>
      <c r="J15" s="99">
        <f t="shared" si="0"/>
        <v>1688.4</v>
      </c>
      <c r="K15" s="99">
        <f t="shared" si="1"/>
        <v>2085.5116800000005</v>
      </c>
    </row>
    <row r="16" spans="1:14" ht="45.75" customHeight="1">
      <c r="A16" s="16" t="s">
        <v>113</v>
      </c>
      <c r="B16" s="97">
        <v>6514</v>
      </c>
      <c r="C16" s="24" t="s">
        <v>71</v>
      </c>
      <c r="D16" s="24" t="s">
        <v>72</v>
      </c>
      <c r="E16" s="100" t="s">
        <v>137</v>
      </c>
      <c r="F16" s="16" t="s">
        <v>24</v>
      </c>
      <c r="G16" s="99">
        <f>10*0.4</f>
        <v>4</v>
      </c>
      <c r="H16" s="99">
        <v>101.14</v>
      </c>
      <c r="I16" s="99">
        <f t="shared" si="2"/>
        <v>124.92812800000002</v>
      </c>
      <c r="J16" s="99">
        <f>G16*H16</f>
        <v>404.56</v>
      </c>
      <c r="K16" s="99">
        <f>I16*G16</f>
        <v>499.71251200000006</v>
      </c>
    </row>
    <row r="17" spans="1:14" ht="104.25" customHeight="1">
      <c r="A17" s="16" t="s">
        <v>114</v>
      </c>
      <c r="B17" s="97">
        <v>92226</v>
      </c>
      <c r="C17" s="24" t="s">
        <v>71</v>
      </c>
      <c r="D17" s="24" t="s">
        <v>72</v>
      </c>
      <c r="E17" s="100" t="s">
        <v>135</v>
      </c>
      <c r="F17" s="16" t="s">
        <v>50</v>
      </c>
      <c r="G17" s="99">
        <v>10</v>
      </c>
      <c r="H17" s="99">
        <v>328.34</v>
      </c>
      <c r="I17" s="99">
        <f t="shared" si="2"/>
        <v>405.56556799999998</v>
      </c>
      <c r="J17" s="99">
        <f t="shared" si="0"/>
        <v>3283.3999999999996</v>
      </c>
      <c r="K17" s="99">
        <f t="shared" si="1"/>
        <v>4055.6556799999998</v>
      </c>
    </row>
    <row r="18" spans="1:14" ht="101.25" customHeight="1">
      <c r="A18" s="16" t="s">
        <v>115</v>
      </c>
      <c r="B18" s="97">
        <v>99259</v>
      </c>
      <c r="C18" s="24" t="s">
        <v>71</v>
      </c>
      <c r="D18" s="24" t="s">
        <v>72</v>
      </c>
      <c r="E18" s="100" t="s">
        <v>138</v>
      </c>
      <c r="F18" s="16" t="s">
        <v>37</v>
      </c>
      <c r="G18" s="99">
        <v>1</v>
      </c>
      <c r="H18" s="99">
        <v>2559.39</v>
      </c>
      <c r="I18" s="99">
        <f t="shared" si="2"/>
        <v>3161.3585280000002</v>
      </c>
      <c r="J18" s="99">
        <f t="shared" si="0"/>
        <v>2559.39</v>
      </c>
      <c r="K18" s="99">
        <f t="shared" si="1"/>
        <v>3161.3585280000002</v>
      </c>
    </row>
    <row r="19" spans="1:14" ht="93" customHeight="1">
      <c r="A19" s="16" t="s">
        <v>116</v>
      </c>
      <c r="B19" s="97">
        <v>99261</v>
      </c>
      <c r="C19" s="24" t="s">
        <v>71</v>
      </c>
      <c r="D19" s="24" t="s">
        <v>72</v>
      </c>
      <c r="E19" s="100" t="s">
        <v>139</v>
      </c>
      <c r="F19" s="16" t="s">
        <v>50</v>
      </c>
      <c r="G19" s="99">
        <v>1.5</v>
      </c>
      <c r="H19" s="99">
        <v>1282.1199999999999</v>
      </c>
      <c r="I19" s="99">
        <f t="shared" si="2"/>
        <v>1583.674624</v>
      </c>
      <c r="J19" s="99">
        <f t="shared" si="0"/>
        <v>1923.1799999999998</v>
      </c>
      <c r="K19" s="99">
        <f t="shared" si="1"/>
        <v>2375.5119359999999</v>
      </c>
    </row>
    <row r="20" spans="1:14" ht="75" customHeight="1">
      <c r="A20" s="16" t="s">
        <v>117</v>
      </c>
      <c r="B20" s="97">
        <v>6240</v>
      </c>
      <c r="C20" s="8" t="s">
        <v>71</v>
      </c>
      <c r="D20" s="8" t="s">
        <v>75</v>
      </c>
      <c r="E20" s="100" t="s">
        <v>122</v>
      </c>
      <c r="F20" s="101" t="s">
        <v>37</v>
      </c>
      <c r="G20" s="102">
        <v>1</v>
      </c>
      <c r="H20" s="101">
        <v>381.71</v>
      </c>
      <c r="I20" s="99">
        <f t="shared" si="2"/>
        <v>435.22574200000003</v>
      </c>
      <c r="J20" s="99">
        <f t="shared" si="0"/>
        <v>381.71</v>
      </c>
      <c r="K20" s="99">
        <f t="shared" ref="K20" si="3">G20*I20</f>
        <v>435.22574200000003</v>
      </c>
    </row>
    <row r="21" spans="1:14" ht="92.25" customHeight="1">
      <c r="A21" s="16" t="s">
        <v>145</v>
      </c>
      <c r="B21" s="97">
        <v>97737</v>
      </c>
      <c r="C21" s="24" t="s">
        <v>71</v>
      </c>
      <c r="D21" s="24" t="s">
        <v>72</v>
      </c>
      <c r="E21" s="100" t="s">
        <v>140</v>
      </c>
      <c r="F21" s="16" t="s">
        <v>24</v>
      </c>
      <c r="G21" s="99">
        <f>2*1.5*0.15</f>
        <v>0.44999999999999996</v>
      </c>
      <c r="H21" s="99">
        <v>2558.06</v>
      </c>
      <c r="I21" s="99">
        <f t="shared" si="2"/>
        <v>3159.7157120000002</v>
      </c>
      <c r="J21" s="99">
        <f t="shared" si="0"/>
        <v>1151.127</v>
      </c>
      <c r="K21" s="99">
        <f t="shared" si="1"/>
        <v>1421.8720704</v>
      </c>
    </row>
    <row r="22" spans="1:14" ht="18" customHeight="1">
      <c r="A22" s="154" t="s">
        <v>73</v>
      </c>
      <c r="B22" s="155"/>
      <c r="C22" s="155"/>
      <c r="D22" s="155"/>
      <c r="E22" s="155"/>
      <c r="F22" s="155"/>
      <c r="G22" s="155"/>
      <c r="H22" s="155"/>
      <c r="I22" s="156"/>
      <c r="J22" s="20">
        <f>SUM(J11:J21)</f>
        <v>13264.456999999999</v>
      </c>
      <c r="K22" s="20">
        <f>SUM(K11:K21)</f>
        <v>16347.994836400003</v>
      </c>
      <c r="N22" s="43"/>
    </row>
    <row r="23" spans="1:14" s="51" customFormat="1" ht="62.25" customHeight="1">
      <c r="A23" s="44">
        <v>2</v>
      </c>
      <c r="B23" s="45"/>
      <c r="C23" s="45"/>
      <c r="D23" s="45"/>
      <c r="E23" s="46" t="s">
        <v>147</v>
      </c>
      <c r="F23" s="47"/>
      <c r="G23" s="48"/>
      <c r="H23" s="48"/>
      <c r="I23" s="48"/>
      <c r="J23" s="48"/>
      <c r="K23" s="48"/>
    </row>
    <row r="24" spans="1:14" ht="138.75" customHeight="1">
      <c r="A24" s="16" t="s">
        <v>19</v>
      </c>
      <c r="B24" s="97">
        <v>90100</v>
      </c>
      <c r="C24" s="8" t="s">
        <v>71</v>
      </c>
      <c r="D24" s="8" t="s">
        <v>72</v>
      </c>
      <c r="E24" s="100" t="s">
        <v>118</v>
      </c>
      <c r="F24" s="101" t="s">
        <v>24</v>
      </c>
      <c r="G24" s="102">
        <f>6*2*2</f>
        <v>24</v>
      </c>
      <c r="H24" s="101">
        <v>10.08</v>
      </c>
      <c r="I24" s="99">
        <f>IF(D24="S",H24*1.2352,H24*1.1402)</f>
        <v>12.450816000000001</v>
      </c>
      <c r="J24" s="99">
        <f>G24*H24</f>
        <v>241.92000000000002</v>
      </c>
      <c r="K24" s="99">
        <f>G24*I24</f>
        <v>298.81958400000002</v>
      </c>
    </row>
    <row r="25" spans="1:14" ht="113.25" customHeight="1">
      <c r="A25" s="16" t="s">
        <v>35</v>
      </c>
      <c r="B25" s="97">
        <v>94317</v>
      </c>
      <c r="C25" s="24" t="s">
        <v>71</v>
      </c>
      <c r="D25" s="24" t="s">
        <v>72</v>
      </c>
      <c r="E25" s="100" t="s">
        <v>134</v>
      </c>
      <c r="F25" s="16" t="s">
        <v>24</v>
      </c>
      <c r="G25" s="99">
        <f>G24*3</f>
        <v>72</v>
      </c>
      <c r="H25" s="99">
        <v>23.55</v>
      </c>
      <c r="I25" s="99">
        <f>IF(D25="S",H25*1.2352,H25*1.1402)</f>
        <v>29.088960000000004</v>
      </c>
      <c r="J25" s="99">
        <f t="shared" ref="J25:J29" si="4">G25*H25</f>
        <v>1695.6000000000001</v>
      </c>
      <c r="K25" s="99">
        <f t="shared" ref="K25:K29" si="5">G25*I25</f>
        <v>2094.4051200000004</v>
      </c>
    </row>
    <row r="26" spans="1:14" ht="110.25" customHeight="1">
      <c r="A26" s="16" t="s">
        <v>141</v>
      </c>
      <c r="B26" s="97">
        <v>90701</v>
      </c>
      <c r="C26" s="8" t="s">
        <v>71</v>
      </c>
      <c r="D26" s="8" t="s">
        <v>72</v>
      </c>
      <c r="E26" s="100" t="s">
        <v>121</v>
      </c>
      <c r="F26" s="101" t="s">
        <v>50</v>
      </c>
      <c r="G26" s="102">
        <v>30</v>
      </c>
      <c r="H26" s="101">
        <v>37.700000000000003</v>
      </c>
      <c r="I26" s="99">
        <f t="shared" ref="I26:I29" si="6">IF(D26="S",H26*1.2352,H26*1.1402)</f>
        <v>46.567040000000006</v>
      </c>
      <c r="J26" s="99">
        <f t="shared" si="4"/>
        <v>1131</v>
      </c>
      <c r="K26" s="99">
        <f t="shared" si="5"/>
        <v>1397.0112000000001</v>
      </c>
    </row>
    <row r="27" spans="1:14" ht="105.75" customHeight="1">
      <c r="A27" s="16" t="s">
        <v>142</v>
      </c>
      <c r="B27" s="97">
        <v>97980</v>
      </c>
      <c r="C27" s="8" t="s">
        <v>71</v>
      </c>
      <c r="D27" s="8" t="s">
        <v>72</v>
      </c>
      <c r="E27" s="100" t="s">
        <v>120</v>
      </c>
      <c r="F27" s="101" t="s">
        <v>37</v>
      </c>
      <c r="G27" s="102">
        <v>1</v>
      </c>
      <c r="H27" s="101">
        <v>1662.68</v>
      </c>
      <c r="I27" s="99">
        <f t="shared" si="6"/>
        <v>2053.7423360000003</v>
      </c>
      <c r="J27" s="99">
        <f t="shared" si="4"/>
        <v>1662.68</v>
      </c>
      <c r="K27" s="99">
        <f t="shared" si="5"/>
        <v>2053.7423360000003</v>
      </c>
    </row>
    <row r="28" spans="1:14" ht="87.75" customHeight="1">
      <c r="A28" s="16" t="s">
        <v>143</v>
      </c>
      <c r="B28" s="97">
        <v>97983</v>
      </c>
      <c r="C28" s="8" t="s">
        <v>71</v>
      </c>
      <c r="D28" s="8" t="s">
        <v>72</v>
      </c>
      <c r="E28" s="100" t="s">
        <v>125</v>
      </c>
      <c r="F28" s="101" t="s">
        <v>50</v>
      </c>
      <c r="G28" s="102">
        <v>4</v>
      </c>
      <c r="H28" s="101">
        <v>319.25</v>
      </c>
      <c r="I28" s="99">
        <f t="shared" si="6"/>
        <v>394.33760000000001</v>
      </c>
      <c r="J28" s="99">
        <f t="shared" si="4"/>
        <v>1277</v>
      </c>
      <c r="K28" s="99">
        <f t="shared" si="5"/>
        <v>1577.3504</v>
      </c>
    </row>
    <row r="29" spans="1:14" ht="81.75" customHeight="1">
      <c r="A29" s="16" t="s">
        <v>144</v>
      </c>
      <c r="B29" s="97">
        <v>6240</v>
      </c>
      <c r="C29" s="8" t="s">
        <v>71</v>
      </c>
      <c r="D29" s="8" t="s">
        <v>75</v>
      </c>
      <c r="E29" s="100" t="s">
        <v>122</v>
      </c>
      <c r="F29" s="101" t="s">
        <v>37</v>
      </c>
      <c r="G29" s="102">
        <v>1</v>
      </c>
      <c r="H29" s="101">
        <v>381.71</v>
      </c>
      <c r="I29" s="99">
        <f t="shared" si="6"/>
        <v>435.22574200000003</v>
      </c>
      <c r="J29" s="99">
        <f t="shared" si="4"/>
        <v>381.71</v>
      </c>
      <c r="K29" s="99">
        <f t="shared" si="5"/>
        <v>435.22574200000003</v>
      </c>
    </row>
    <row r="30" spans="1:14" ht="15" customHeight="1">
      <c r="A30" s="154" t="s">
        <v>73</v>
      </c>
      <c r="B30" s="155"/>
      <c r="C30" s="155"/>
      <c r="D30" s="155"/>
      <c r="E30" s="155"/>
      <c r="F30" s="155"/>
      <c r="G30" s="155"/>
      <c r="H30" s="155"/>
      <c r="I30" s="156"/>
      <c r="J30" s="99">
        <f>SUM(J24:J29)</f>
        <v>6389.9100000000008</v>
      </c>
      <c r="K30" s="99">
        <f>SUM(K24:K29)</f>
        <v>7856.5543820000003</v>
      </c>
    </row>
    <row r="31" spans="1:14" s="51" customFormat="1" ht="30">
      <c r="A31" s="44">
        <v>3</v>
      </c>
      <c r="B31" s="45"/>
      <c r="C31" s="45"/>
      <c r="D31" s="45"/>
      <c r="E31" s="46" t="s">
        <v>148</v>
      </c>
      <c r="F31" s="47"/>
      <c r="G31" s="48"/>
      <c r="H31" s="48"/>
      <c r="I31" s="48"/>
      <c r="J31" s="48"/>
      <c r="K31" s="48"/>
    </row>
    <row r="32" spans="1:14" ht="84" customHeight="1">
      <c r="A32" s="16" t="s">
        <v>57</v>
      </c>
      <c r="B32" s="97">
        <v>92970</v>
      </c>
      <c r="C32" s="24" t="s">
        <v>71</v>
      </c>
      <c r="D32" s="24" t="s">
        <v>72</v>
      </c>
      <c r="E32" s="98" t="s">
        <v>131</v>
      </c>
      <c r="F32" s="16" t="s">
        <v>13</v>
      </c>
      <c r="G32" s="99">
        <v>12</v>
      </c>
      <c r="H32" s="99">
        <v>14.12</v>
      </c>
      <c r="I32" s="99">
        <f>IF(D32="S",H32*1.2352,H32*1.1402)</f>
        <v>17.441023999999999</v>
      </c>
      <c r="J32" s="99">
        <f t="shared" ref="J32:J36" si="7">G32*H32</f>
        <v>169.44</v>
      </c>
      <c r="K32" s="99">
        <f t="shared" ref="K32:K36" si="8">I32*G32</f>
        <v>209.29228799999999</v>
      </c>
    </row>
    <row r="33" spans="1:11" ht="81" customHeight="1">
      <c r="A33" s="16" t="s">
        <v>151</v>
      </c>
      <c r="B33" s="97">
        <v>72897</v>
      </c>
      <c r="C33" s="24" t="s">
        <v>71</v>
      </c>
      <c r="D33" s="24" t="s">
        <v>72</v>
      </c>
      <c r="E33" s="100" t="s">
        <v>132</v>
      </c>
      <c r="F33" s="16" t="s">
        <v>24</v>
      </c>
      <c r="G33" s="99">
        <f>12*0.15*2</f>
        <v>3.5999999999999996</v>
      </c>
      <c r="H33" s="99">
        <v>24.41</v>
      </c>
      <c r="I33" s="99">
        <f>IF(D33="S",H33*1.2352,H33*1.1402)</f>
        <v>30.151232</v>
      </c>
      <c r="J33" s="99">
        <f t="shared" si="7"/>
        <v>87.875999999999991</v>
      </c>
      <c r="K33" s="99">
        <f t="shared" si="8"/>
        <v>108.5444352</v>
      </c>
    </row>
    <row r="34" spans="1:11" ht="91.5" customHeight="1">
      <c r="A34" s="16" t="s">
        <v>152</v>
      </c>
      <c r="B34" s="24">
        <v>72900</v>
      </c>
      <c r="C34" s="24" t="s">
        <v>71</v>
      </c>
      <c r="D34" s="24" t="s">
        <v>72</v>
      </c>
      <c r="E34" s="100" t="s">
        <v>124</v>
      </c>
      <c r="F34" s="16" t="s">
        <v>123</v>
      </c>
      <c r="G34" s="99">
        <f>G33*10</f>
        <v>36</v>
      </c>
      <c r="H34" s="99">
        <v>4.59</v>
      </c>
      <c r="I34" s="99">
        <f t="shared" ref="I34:I39" si="9">IF(D34="S",H34*1.2352,H34*1.1402)</f>
        <v>5.6695679999999999</v>
      </c>
      <c r="J34" s="99">
        <f t="shared" si="7"/>
        <v>165.24</v>
      </c>
      <c r="K34" s="99">
        <f t="shared" si="8"/>
        <v>204.10444799999999</v>
      </c>
    </row>
    <row r="35" spans="1:11" ht="168" customHeight="1">
      <c r="A35" s="16" t="s">
        <v>153</v>
      </c>
      <c r="B35" s="8">
        <v>90102</v>
      </c>
      <c r="C35" s="24" t="s">
        <v>71</v>
      </c>
      <c r="D35" s="24" t="s">
        <v>72</v>
      </c>
      <c r="E35" s="100" t="s">
        <v>133</v>
      </c>
      <c r="F35" s="16" t="s">
        <v>24</v>
      </c>
      <c r="G35" s="99">
        <f>10*2</f>
        <v>20</v>
      </c>
      <c r="H35" s="99">
        <v>9.07</v>
      </c>
      <c r="I35" s="99">
        <f t="shared" si="9"/>
        <v>11.203264000000001</v>
      </c>
      <c r="J35" s="99">
        <f t="shared" si="7"/>
        <v>181.4</v>
      </c>
      <c r="K35" s="99">
        <f t="shared" si="8"/>
        <v>224.06528000000003</v>
      </c>
    </row>
    <row r="36" spans="1:11" ht="114.75" customHeight="1">
      <c r="A36" s="16" t="s">
        <v>154</v>
      </c>
      <c r="B36" s="97">
        <v>94318</v>
      </c>
      <c r="C36" s="24" t="s">
        <v>71</v>
      </c>
      <c r="D36" s="24" t="s">
        <v>72</v>
      </c>
      <c r="E36" s="100" t="s">
        <v>136</v>
      </c>
      <c r="F36" s="16" t="s">
        <v>24</v>
      </c>
      <c r="G36" s="99">
        <f>G35</f>
        <v>20</v>
      </c>
      <c r="H36" s="99">
        <v>18.760000000000002</v>
      </c>
      <c r="I36" s="99">
        <f t="shared" si="9"/>
        <v>23.172352000000004</v>
      </c>
      <c r="J36" s="99">
        <f t="shared" si="7"/>
        <v>375.20000000000005</v>
      </c>
      <c r="K36" s="99">
        <f t="shared" si="8"/>
        <v>463.44704000000007</v>
      </c>
    </row>
    <row r="37" spans="1:11" ht="43.5" customHeight="1">
      <c r="A37" s="16" t="s">
        <v>155</v>
      </c>
      <c r="B37" s="97">
        <v>6514</v>
      </c>
      <c r="C37" s="24" t="s">
        <v>71</v>
      </c>
      <c r="D37" s="24" t="s">
        <v>72</v>
      </c>
      <c r="E37" s="100" t="s">
        <v>137</v>
      </c>
      <c r="F37" s="16" t="s">
        <v>24</v>
      </c>
      <c r="G37" s="99">
        <v>2</v>
      </c>
      <c r="H37" s="99">
        <v>101.14</v>
      </c>
      <c r="I37" s="99">
        <f t="shared" si="9"/>
        <v>124.92812800000002</v>
      </c>
      <c r="J37" s="99">
        <f>G37*H37</f>
        <v>202.28</v>
      </c>
      <c r="K37" s="99">
        <f>I37*G37</f>
        <v>249.85625600000003</v>
      </c>
    </row>
    <row r="38" spans="1:11" ht="85.5" customHeight="1">
      <c r="A38" s="5" t="s">
        <v>156</v>
      </c>
      <c r="B38" s="103">
        <v>94991</v>
      </c>
      <c r="C38" s="42" t="s">
        <v>71</v>
      </c>
      <c r="D38" s="42" t="s">
        <v>72</v>
      </c>
      <c r="E38" s="89" t="s">
        <v>172</v>
      </c>
      <c r="F38" s="16" t="s">
        <v>24</v>
      </c>
      <c r="G38" s="20">
        <v>4</v>
      </c>
      <c r="H38" s="20">
        <v>411.81</v>
      </c>
      <c r="I38" s="20">
        <f t="shared" ref="I38" si="10">IF(D38="S",H38*1.2352,H38*1.2352)</f>
        <v>508.66771200000005</v>
      </c>
      <c r="J38" s="20">
        <f t="shared" ref="J38" si="11">G38*H38</f>
        <v>1647.24</v>
      </c>
      <c r="K38" s="20">
        <f t="shared" ref="K38" si="12">I38*G38</f>
        <v>2034.6708480000002</v>
      </c>
    </row>
    <row r="39" spans="1:11" ht="104.25" customHeight="1">
      <c r="A39" s="16" t="s">
        <v>169</v>
      </c>
      <c r="B39" s="97">
        <v>92226</v>
      </c>
      <c r="C39" s="24" t="s">
        <v>71</v>
      </c>
      <c r="D39" s="24" t="s">
        <v>72</v>
      </c>
      <c r="E39" s="100" t="s">
        <v>149</v>
      </c>
      <c r="F39" s="16" t="s">
        <v>50</v>
      </c>
      <c r="G39" s="99">
        <v>6</v>
      </c>
      <c r="H39" s="99">
        <v>229.93</v>
      </c>
      <c r="I39" s="99">
        <f t="shared" si="9"/>
        <v>284.00953600000003</v>
      </c>
      <c r="J39" s="99">
        <f t="shared" ref="J39" si="13">G39*H39</f>
        <v>1379.58</v>
      </c>
      <c r="K39" s="99">
        <f t="shared" ref="K39" si="14">I39*G39</f>
        <v>1704.0572160000002</v>
      </c>
    </row>
    <row r="40" spans="1:11" ht="15" customHeight="1">
      <c r="A40" s="154" t="s">
        <v>73</v>
      </c>
      <c r="B40" s="155"/>
      <c r="C40" s="155"/>
      <c r="D40" s="155"/>
      <c r="E40" s="155"/>
      <c r="F40" s="155"/>
      <c r="G40" s="155"/>
      <c r="H40" s="155"/>
      <c r="I40" s="156"/>
      <c r="J40" s="99">
        <f>SUM(J32:J39)</f>
        <v>4208.2560000000003</v>
      </c>
      <c r="K40" s="99">
        <f>SUM(K32:K39)</f>
        <v>5198.0378112000008</v>
      </c>
    </row>
    <row r="41" spans="1:11" s="51" customFormat="1" ht="30">
      <c r="A41" s="44">
        <v>4</v>
      </c>
      <c r="B41" s="45"/>
      <c r="C41" s="45"/>
      <c r="D41" s="45"/>
      <c r="E41" s="46" t="s">
        <v>150</v>
      </c>
      <c r="F41" s="47"/>
      <c r="G41" s="48"/>
      <c r="H41" s="48"/>
      <c r="I41" s="48"/>
      <c r="J41" s="48"/>
      <c r="K41" s="48"/>
    </row>
    <row r="42" spans="1:11" ht="84" customHeight="1">
      <c r="A42" s="16" t="s">
        <v>74</v>
      </c>
      <c r="B42" s="97">
        <v>92970</v>
      </c>
      <c r="C42" s="24" t="s">
        <v>71</v>
      </c>
      <c r="D42" s="24" t="s">
        <v>72</v>
      </c>
      <c r="E42" s="98" t="s">
        <v>131</v>
      </c>
      <c r="F42" s="16" t="s">
        <v>13</v>
      </c>
      <c r="G42" s="99">
        <f>14*3</f>
        <v>42</v>
      </c>
      <c r="H42" s="99">
        <v>14.12</v>
      </c>
      <c r="I42" s="99">
        <f>IF(D42="S",H42*1.2352,H42*1.1402)</f>
        <v>17.441023999999999</v>
      </c>
      <c r="J42" s="99">
        <f t="shared" ref="J42:J46" si="15">G42*H42</f>
        <v>593.04</v>
      </c>
      <c r="K42" s="99">
        <f t="shared" ref="K42:K46" si="16">I42*G42</f>
        <v>732.52300799999989</v>
      </c>
    </row>
    <row r="43" spans="1:11" ht="81" customHeight="1">
      <c r="A43" s="16" t="s">
        <v>94</v>
      </c>
      <c r="B43" s="97">
        <v>72897</v>
      </c>
      <c r="C43" s="24" t="s">
        <v>71</v>
      </c>
      <c r="D43" s="24" t="s">
        <v>72</v>
      </c>
      <c r="E43" s="100" t="s">
        <v>132</v>
      </c>
      <c r="F43" s="16" t="s">
        <v>24</v>
      </c>
      <c r="G43" s="99">
        <f>42*0.15*2</f>
        <v>12.6</v>
      </c>
      <c r="H43" s="99">
        <v>24.41</v>
      </c>
      <c r="I43" s="99">
        <f>IF(D43="S",H43*1.2352,H43*1.1402)</f>
        <v>30.151232</v>
      </c>
      <c r="J43" s="99">
        <f t="shared" si="15"/>
        <v>307.56599999999997</v>
      </c>
      <c r="K43" s="99">
        <f t="shared" si="16"/>
        <v>379.9055232</v>
      </c>
    </row>
    <row r="44" spans="1:11" ht="91.5" customHeight="1">
      <c r="A44" s="16" t="s">
        <v>95</v>
      </c>
      <c r="B44" s="24">
        <v>72900</v>
      </c>
      <c r="C44" s="24" t="s">
        <v>71</v>
      </c>
      <c r="D44" s="24" t="s">
        <v>72</v>
      </c>
      <c r="E44" s="100" t="s">
        <v>124</v>
      </c>
      <c r="F44" s="16" t="s">
        <v>123</v>
      </c>
      <c r="G44" s="99">
        <f>G43*10</f>
        <v>126</v>
      </c>
      <c r="H44" s="99">
        <v>4.59</v>
      </c>
      <c r="I44" s="99">
        <f t="shared" ref="I44:I49" si="17">IF(D44="S",H44*1.2352,H44*1.1402)</f>
        <v>5.6695679999999999</v>
      </c>
      <c r="J44" s="99">
        <f t="shared" si="15"/>
        <v>578.34</v>
      </c>
      <c r="K44" s="99">
        <f t="shared" si="16"/>
        <v>714.36556799999994</v>
      </c>
    </row>
    <row r="45" spans="1:11" ht="159.75" customHeight="1">
      <c r="A45" s="16" t="s">
        <v>97</v>
      </c>
      <c r="B45" s="8">
        <v>90102</v>
      </c>
      <c r="C45" s="24" t="s">
        <v>71</v>
      </c>
      <c r="D45" s="24" t="s">
        <v>72</v>
      </c>
      <c r="E45" s="100" t="s">
        <v>133</v>
      </c>
      <c r="F45" s="16" t="s">
        <v>24</v>
      </c>
      <c r="G45" s="99">
        <f>42*2</f>
        <v>84</v>
      </c>
      <c r="H45" s="99">
        <v>9.07</v>
      </c>
      <c r="I45" s="99">
        <f t="shared" si="17"/>
        <v>11.203264000000001</v>
      </c>
      <c r="J45" s="99">
        <f t="shared" si="15"/>
        <v>761.88</v>
      </c>
      <c r="K45" s="99">
        <f t="shared" si="16"/>
        <v>941.07417600000008</v>
      </c>
    </row>
    <row r="46" spans="1:11" ht="114.75" customHeight="1">
      <c r="A46" s="16" t="s">
        <v>157</v>
      </c>
      <c r="B46" s="97">
        <v>94318</v>
      </c>
      <c r="C46" s="24" t="s">
        <v>71</v>
      </c>
      <c r="D46" s="24" t="s">
        <v>72</v>
      </c>
      <c r="E46" s="100" t="s">
        <v>136</v>
      </c>
      <c r="F46" s="16" t="s">
        <v>24</v>
      </c>
      <c r="G46" s="99">
        <f>G45</f>
        <v>84</v>
      </c>
      <c r="H46" s="99">
        <v>18.760000000000002</v>
      </c>
      <c r="I46" s="99">
        <f t="shared" si="17"/>
        <v>23.172352000000004</v>
      </c>
      <c r="J46" s="99">
        <f t="shared" si="15"/>
        <v>1575.8400000000001</v>
      </c>
      <c r="K46" s="99">
        <f t="shared" si="16"/>
        <v>1946.4775680000002</v>
      </c>
    </row>
    <row r="47" spans="1:11" ht="44.25" customHeight="1">
      <c r="A47" s="16" t="s">
        <v>158</v>
      </c>
      <c r="B47" s="97">
        <v>6514</v>
      </c>
      <c r="C47" s="24" t="s">
        <v>71</v>
      </c>
      <c r="D47" s="24" t="s">
        <v>72</v>
      </c>
      <c r="E47" s="100" t="s">
        <v>137</v>
      </c>
      <c r="F47" s="16" t="s">
        <v>24</v>
      </c>
      <c r="G47" s="99">
        <v>8</v>
      </c>
      <c r="H47" s="99">
        <v>101.14</v>
      </c>
      <c r="I47" s="99">
        <f t="shared" si="17"/>
        <v>124.92812800000002</v>
      </c>
      <c r="J47" s="99">
        <f>G47*H47</f>
        <v>809.12</v>
      </c>
      <c r="K47" s="99">
        <f>I47*G47</f>
        <v>999.42502400000012</v>
      </c>
    </row>
    <row r="48" spans="1:11" ht="90">
      <c r="A48" s="5" t="s">
        <v>159</v>
      </c>
      <c r="B48" s="97">
        <v>94991</v>
      </c>
      <c r="C48" s="24" t="s">
        <v>71</v>
      </c>
      <c r="D48" s="24" t="s">
        <v>72</v>
      </c>
      <c r="E48" s="100" t="s">
        <v>171</v>
      </c>
      <c r="F48" s="16" t="s">
        <v>24</v>
      </c>
      <c r="G48" s="99">
        <v>8</v>
      </c>
      <c r="H48" s="99">
        <v>411.81</v>
      </c>
      <c r="I48" s="99">
        <f t="shared" ref="I48" si="18">IF(D48="S",H48*1.2352,H48*1.2352)</f>
        <v>508.66771200000005</v>
      </c>
      <c r="J48" s="99">
        <f t="shared" ref="J48" si="19">G48*H48</f>
        <v>3294.48</v>
      </c>
      <c r="K48" s="99">
        <f t="shared" ref="K48" si="20">I48*G48</f>
        <v>4069.3416960000004</v>
      </c>
    </row>
    <row r="49" spans="1:11" ht="107.25" customHeight="1">
      <c r="A49" s="16" t="s">
        <v>170</v>
      </c>
      <c r="B49" s="97">
        <v>92226</v>
      </c>
      <c r="C49" s="24" t="s">
        <v>71</v>
      </c>
      <c r="D49" s="24" t="s">
        <v>72</v>
      </c>
      <c r="E49" s="100" t="s">
        <v>149</v>
      </c>
      <c r="F49" s="16" t="s">
        <v>50</v>
      </c>
      <c r="G49" s="99">
        <v>14</v>
      </c>
      <c r="H49" s="99">
        <v>229.93</v>
      </c>
      <c r="I49" s="99">
        <f t="shared" si="17"/>
        <v>284.00953600000003</v>
      </c>
      <c r="J49" s="99">
        <f t="shared" ref="J49" si="21">G49*H49</f>
        <v>3219.02</v>
      </c>
      <c r="K49" s="99">
        <f t="shared" ref="K49" si="22">I49*G49</f>
        <v>3976.1335040000004</v>
      </c>
    </row>
    <row r="50" spans="1:11" ht="15" customHeight="1">
      <c r="A50" s="154" t="s">
        <v>73</v>
      </c>
      <c r="B50" s="155"/>
      <c r="C50" s="155"/>
      <c r="D50" s="155"/>
      <c r="E50" s="155"/>
      <c r="F50" s="155"/>
      <c r="G50" s="155"/>
      <c r="H50" s="155"/>
      <c r="I50" s="156"/>
      <c r="J50" s="99">
        <f>SUM(J42:J49)</f>
        <v>11139.286</v>
      </c>
      <c r="K50" s="99">
        <f>SUM(K42:K49)</f>
        <v>13759.246067200002</v>
      </c>
    </row>
    <row r="51" spans="1:11" s="51" customFormat="1" ht="30">
      <c r="A51" s="44">
        <v>5</v>
      </c>
      <c r="B51" s="45"/>
      <c r="C51" s="45"/>
      <c r="D51" s="45"/>
      <c r="E51" s="46" t="s">
        <v>160</v>
      </c>
      <c r="F51" s="47"/>
      <c r="G51" s="48"/>
      <c r="H51" s="48"/>
      <c r="I51" s="48"/>
      <c r="J51" s="48"/>
      <c r="K51" s="48"/>
    </row>
    <row r="52" spans="1:11" ht="84" customHeight="1">
      <c r="A52" s="16" t="s">
        <v>162</v>
      </c>
      <c r="B52" s="97">
        <v>92970</v>
      </c>
      <c r="C52" s="24" t="s">
        <v>71</v>
      </c>
      <c r="D52" s="24" t="s">
        <v>72</v>
      </c>
      <c r="E52" s="98" t="s">
        <v>131</v>
      </c>
      <c r="F52" s="16" t="s">
        <v>13</v>
      </c>
      <c r="G52" s="99">
        <v>16</v>
      </c>
      <c r="H52" s="99">
        <v>14.12</v>
      </c>
      <c r="I52" s="99">
        <f>IF(D52="S",H52*1.2352,H52*1.1402)</f>
        <v>17.441023999999999</v>
      </c>
      <c r="J52" s="99">
        <f t="shared" ref="J52:J56" si="23">G52*H52</f>
        <v>225.92</v>
      </c>
      <c r="K52" s="99">
        <f t="shared" ref="K52:K56" si="24">I52*G52</f>
        <v>279.05638399999998</v>
      </c>
    </row>
    <row r="53" spans="1:11" ht="81" customHeight="1">
      <c r="A53" s="16" t="s">
        <v>163</v>
      </c>
      <c r="B53" s="97">
        <v>72897</v>
      </c>
      <c r="C53" s="24" t="s">
        <v>71</v>
      </c>
      <c r="D53" s="24" t="s">
        <v>72</v>
      </c>
      <c r="E53" s="100" t="s">
        <v>132</v>
      </c>
      <c r="F53" s="16" t="s">
        <v>24</v>
      </c>
      <c r="G53" s="99">
        <f>16*0.15*2</f>
        <v>4.8</v>
      </c>
      <c r="H53" s="99">
        <v>24.41</v>
      </c>
      <c r="I53" s="99">
        <f>IF(D53="S",H53*1.2352,H53*1.1402)</f>
        <v>30.151232</v>
      </c>
      <c r="J53" s="99">
        <f t="shared" si="23"/>
        <v>117.16799999999999</v>
      </c>
      <c r="K53" s="99">
        <f t="shared" si="24"/>
        <v>144.72591359999998</v>
      </c>
    </row>
    <row r="54" spans="1:11" ht="91.5" customHeight="1">
      <c r="A54" s="16" t="s">
        <v>164</v>
      </c>
      <c r="B54" s="24">
        <v>72900</v>
      </c>
      <c r="C54" s="24" t="s">
        <v>71</v>
      </c>
      <c r="D54" s="24" t="s">
        <v>72</v>
      </c>
      <c r="E54" s="100" t="s">
        <v>124</v>
      </c>
      <c r="F54" s="16" t="s">
        <v>123</v>
      </c>
      <c r="G54" s="99">
        <f>G53*10</f>
        <v>48</v>
      </c>
      <c r="H54" s="99">
        <v>4.59</v>
      </c>
      <c r="I54" s="99">
        <f t="shared" ref="I54:I58" si="25">IF(D54="S",H54*1.2352,H54*1.1402)</f>
        <v>5.6695679999999999</v>
      </c>
      <c r="J54" s="99">
        <f t="shared" si="23"/>
        <v>220.32</v>
      </c>
      <c r="K54" s="99">
        <f t="shared" si="24"/>
        <v>272.13926400000003</v>
      </c>
    </row>
    <row r="55" spans="1:11" ht="159.75" customHeight="1">
      <c r="A55" s="16" t="s">
        <v>165</v>
      </c>
      <c r="B55" s="8">
        <v>90102</v>
      </c>
      <c r="C55" s="24" t="s">
        <v>71</v>
      </c>
      <c r="D55" s="24" t="s">
        <v>72</v>
      </c>
      <c r="E55" s="100" t="s">
        <v>133</v>
      </c>
      <c r="F55" s="16" t="s">
        <v>24</v>
      </c>
      <c r="G55" s="99">
        <f>16*2</f>
        <v>32</v>
      </c>
      <c r="H55" s="99">
        <v>9.07</v>
      </c>
      <c r="I55" s="99">
        <f t="shared" si="25"/>
        <v>11.203264000000001</v>
      </c>
      <c r="J55" s="99">
        <f t="shared" si="23"/>
        <v>290.24</v>
      </c>
      <c r="K55" s="99">
        <f t="shared" si="24"/>
        <v>358.50444800000002</v>
      </c>
    </row>
    <row r="56" spans="1:11" ht="119.25" customHeight="1">
      <c r="A56" s="16" t="s">
        <v>166</v>
      </c>
      <c r="B56" s="97">
        <v>94318</v>
      </c>
      <c r="C56" s="24" t="s">
        <v>71</v>
      </c>
      <c r="D56" s="24" t="s">
        <v>72</v>
      </c>
      <c r="E56" s="100" t="s">
        <v>136</v>
      </c>
      <c r="F56" s="16" t="s">
        <v>24</v>
      </c>
      <c r="G56" s="99">
        <f>G55</f>
        <v>32</v>
      </c>
      <c r="H56" s="99">
        <v>18.760000000000002</v>
      </c>
      <c r="I56" s="99">
        <f t="shared" si="25"/>
        <v>23.172352000000004</v>
      </c>
      <c r="J56" s="99">
        <f t="shared" si="23"/>
        <v>600.32000000000005</v>
      </c>
      <c r="K56" s="99">
        <f t="shared" si="24"/>
        <v>741.51526400000012</v>
      </c>
    </row>
    <row r="57" spans="1:11" ht="51" customHeight="1">
      <c r="A57" s="16" t="s">
        <v>167</v>
      </c>
      <c r="B57" s="97">
        <v>6514</v>
      </c>
      <c r="C57" s="24" t="s">
        <v>71</v>
      </c>
      <c r="D57" s="24" t="s">
        <v>72</v>
      </c>
      <c r="E57" s="100" t="s">
        <v>137</v>
      </c>
      <c r="F57" s="16" t="s">
        <v>24</v>
      </c>
      <c r="G57" s="99">
        <v>2.5</v>
      </c>
      <c r="H57" s="99">
        <v>101.14</v>
      </c>
      <c r="I57" s="99">
        <f t="shared" si="25"/>
        <v>124.92812800000002</v>
      </c>
      <c r="J57" s="99">
        <f>G57*H57</f>
        <v>252.85</v>
      </c>
      <c r="K57" s="99">
        <f>I57*G57</f>
        <v>312.32032000000004</v>
      </c>
    </row>
    <row r="58" spans="1:11" ht="107.25" customHeight="1">
      <c r="A58" s="16" t="s">
        <v>168</v>
      </c>
      <c r="B58" s="97">
        <v>92210</v>
      </c>
      <c r="C58" s="24" t="s">
        <v>71</v>
      </c>
      <c r="D58" s="24" t="s">
        <v>72</v>
      </c>
      <c r="E58" s="100" t="s">
        <v>161</v>
      </c>
      <c r="F58" s="16" t="s">
        <v>50</v>
      </c>
      <c r="G58" s="99">
        <v>6</v>
      </c>
      <c r="H58" s="99">
        <v>95.53</v>
      </c>
      <c r="I58" s="99">
        <f t="shared" si="25"/>
        <v>117.99865600000001</v>
      </c>
      <c r="J58" s="99">
        <f t="shared" ref="J58" si="26">G58*H58</f>
        <v>573.18000000000006</v>
      </c>
      <c r="K58" s="99">
        <f t="shared" ref="K58" si="27">I58*G58</f>
        <v>707.99193600000012</v>
      </c>
    </row>
    <row r="59" spans="1:11" ht="15" customHeight="1">
      <c r="A59" s="154" t="s">
        <v>73</v>
      </c>
      <c r="B59" s="155"/>
      <c r="C59" s="155"/>
      <c r="D59" s="155"/>
      <c r="E59" s="155"/>
      <c r="F59" s="155"/>
      <c r="G59" s="155"/>
      <c r="H59" s="155"/>
      <c r="I59" s="156"/>
      <c r="J59" s="99">
        <f>SUM(J52:J58)</f>
        <v>2279.9979999999996</v>
      </c>
      <c r="K59" s="99">
        <f>SUM(K52:K58)</f>
        <v>2816.2535296000005</v>
      </c>
    </row>
    <row r="60" spans="1:11" s="51" customFormat="1" ht="62.25" customHeight="1">
      <c r="A60" s="44">
        <v>6</v>
      </c>
      <c r="B60" s="45"/>
      <c r="C60" s="45"/>
      <c r="D60" s="45"/>
      <c r="E60" s="46" t="s">
        <v>178</v>
      </c>
      <c r="F60" s="47"/>
      <c r="G60" s="48"/>
      <c r="H60" s="48"/>
      <c r="I60" s="48"/>
      <c r="J60" s="48"/>
      <c r="K60" s="48"/>
    </row>
    <row r="61" spans="1:11" ht="138.75" customHeight="1">
      <c r="A61" s="16" t="s">
        <v>173</v>
      </c>
      <c r="B61" s="97">
        <v>90100</v>
      </c>
      <c r="C61" s="8" t="s">
        <v>71</v>
      </c>
      <c r="D61" s="8" t="s">
        <v>72</v>
      </c>
      <c r="E61" s="100" t="s">
        <v>118</v>
      </c>
      <c r="F61" s="101" t="s">
        <v>24</v>
      </c>
      <c r="G61" s="102">
        <v>20</v>
      </c>
      <c r="H61" s="101">
        <v>10.08</v>
      </c>
      <c r="I61" s="99">
        <f>IF(D61="S",H61*1.2352,H61*1.1402)</f>
        <v>12.450816000000001</v>
      </c>
      <c r="J61" s="99">
        <f>G61*H61</f>
        <v>201.6</v>
      </c>
      <c r="K61" s="99">
        <f>G61*I61</f>
        <v>249.01632000000004</v>
      </c>
    </row>
    <row r="62" spans="1:11" ht="123.75" customHeight="1">
      <c r="A62" s="16" t="s">
        <v>174</v>
      </c>
      <c r="B62" s="97">
        <v>94317</v>
      </c>
      <c r="C62" s="24" t="s">
        <v>71</v>
      </c>
      <c r="D62" s="24" t="s">
        <v>72</v>
      </c>
      <c r="E62" s="100" t="s">
        <v>134</v>
      </c>
      <c r="F62" s="16" t="s">
        <v>24</v>
      </c>
      <c r="G62" s="99">
        <v>20</v>
      </c>
      <c r="H62" s="99">
        <v>23.55</v>
      </c>
      <c r="I62" s="99">
        <f>IF(D62="S",H62*1.2352,H62*1.1402)</f>
        <v>29.088960000000004</v>
      </c>
      <c r="J62" s="99">
        <f t="shared" ref="J62:J64" si="28">G62*H62</f>
        <v>471</v>
      </c>
      <c r="K62" s="99">
        <f t="shared" ref="K62:K63" si="29">G62*I62</f>
        <v>581.77920000000006</v>
      </c>
    </row>
    <row r="63" spans="1:11" ht="110.25" customHeight="1">
      <c r="A63" s="16" t="s">
        <v>175</v>
      </c>
      <c r="B63" s="97">
        <v>90705</v>
      </c>
      <c r="C63" s="8" t="s">
        <v>71</v>
      </c>
      <c r="D63" s="8" t="s">
        <v>72</v>
      </c>
      <c r="E63" s="100" t="s">
        <v>177</v>
      </c>
      <c r="F63" s="101" t="s">
        <v>50</v>
      </c>
      <c r="G63" s="102">
        <v>10</v>
      </c>
      <c r="H63" s="101">
        <v>175.68</v>
      </c>
      <c r="I63" s="99">
        <f t="shared" ref="I63" si="30">IF(D63="S",H63*1.2352,H63*1.1402)</f>
        <v>216.99993600000002</v>
      </c>
      <c r="J63" s="99">
        <f t="shared" si="28"/>
        <v>1756.8000000000002</v>
      </c>
      <c r="K63" s="99">
        <f t="shared" si="29"/>
        <v>2169.9993600000003</v>
      </c>
    </row>
    <row r="64" spans="1:11" ht="90">
      <c r="A64" s="16" t="s">
        <v>176</v>
      </c>
      <c r="B64" s="97">
        <v>94991</v>
      </c>
      <c r="C64" s="24" t="s">
        <v>71</v>
      </c>
      <c r="D64" s="24" t="s">
        <v>72</v>
      </c>
      <c r="E64" s="100" t="s">
        <v>171</v>
      </c>
      <c r="F64" s="16" t="s">
        <v>24</v>
      </c>
      <c r="G64" s="99">
        <v>1</v>
      </c>
      <c r="H64" s="99">
        <v>411.81</v>
      </c>
      <c r="I64" s="99">
        <f t="shared" ref="I64" si="31">IF(D64="S",H64*1.2352,H64*1.2352)</f>
        <v>508.66771200000005</v>
      </c>
      <c r="J64" s="99">
        <f t="shared" si="28"/>
        <v>411.81</v>
      </c>
      <c r="K64" s="99">
        <f t="shared" ref="K64" si="32">I64*G64</f>
        <v>508.66771200000005</v>
      </c>
    </row>
    <row r="65" spans="1:11" ht="15" customHeight="1">
      <c r="A65" s="154" t="s">
        <v>73</v>
      </c>
      <c r="B65" s="155"/>
      <c r="C65" s="155"/>
      <c r="D65" s="155"/>
      <c r="E65" s="155"/>
      <c r="F65" s="155"/>
      <c r="G65" s="155"/>
      <c r="H65" s="155"/>
      <c r="I65" s="156"/>
      <c r="J65" s="99">
        <f>SUM(J61:J64)</f>
        <v>2841.21</v>
      </c>
      <c r="K65" s="99">
        <f>SUM(K61:K64)</f>
        <v>3509.4625920000003</v>
      </c>
    </row>
    <row r="66" spans="1:11" s="51" customFormat="1" ht="62.25" customHeight="1">
      <c r="A66" s="44">
        <v>7</v>
      </c>
      <c r="B66" s="45"/>
      <c r="C66" s="45"/>
      <c r="D66" s="45"/>
      <c r="E66" s="46" t="s">
        <v>191</v>
      </c>
      <c r="F66" s="47"/>
      <c r="G66" s="48"/>
      <c r="H66" s="48"/>
      <c r="I66" s="48"/>
      <c r="J66" s="48"/>
      <c r="K66" s="48"/>
    </row>
    <row r="67" spans="1:11" ht="138.75" customHeight="1">
      <c r="A67" s="16" t="s">
        <v>179</v>
      </c>
      <c r="B67" s="97">
        <v>90100</v>
      </c>
      <c r="C67" s="8" t="s">
        <v>71</v>
      </c>
      <c r="D67" s="8" t="s">
        <v>72</v>
      </c>
      <c r="E67" s="100" t="s">
        <v>118</v>
      </c>
      <c r="F67" s="101" t="s">
        <v>24</v>
      </c>
      <c r="G67" s="102">
        <v>40</v>
      </c>
      <c r="H67" s="101">
        <v>10.08</v>
      </c>
      <c r="I67" s="99">
        <f>IF(D67="S",H67*1.2352,H67*1.1402)</f>
        <v>12.450816000000001</v>
      </c>
      <c r="J67" s="99">
        <f>G67*H67</f>
        <v>403.2</v>
      </c>
      <c r="K67" s="99">
        <f>G67*I67</f>
        <v>498.03264000000007</v>
      </c>
    </row>
    <row r="68" spans="1:11" ht="123.75" customHeight="1">
      <c r="A68" s="16" t="s">
        <v>180</v>
      </c>
      <c r="B68" s="97">
        <v>94317</v>
      </c>
      <c r="C68" s="24" t="s">
        <v>71</v>
      </c>
      <c r="D68" s="24" t="s">
        <v>72</v>
      </c>
      <c r="E68" s="100" t="s">
        <v>134</v>
      </c>
      <c r="F68" s="16" t="s">
        <v>24</v>
      </c>
      <c r="G68" s="99">
        <v>40</v>
      </c>
      <c r="H68" s="99">
        <v>23.55</v>
      </c>
      <c r="I68" s="99">
        <f>IF(D68="S",H68*1.2352,H68*1.1402)</f>
        <v>29.088960000000004</v>
      </c>
      <c r="J68" s="99">
        <f t="shared" ref="J68:J74" si="33">G68*H68</f>
        <v>942</v>
      </c>
      <c r="K68" s="99">
        <f t="shared" ref="K68:K71" si="34">G68*I68</f>
        <v>1163.5584000000001</v>
      </c>
    </row>
    <row r="69" spans="1:11" ht="110.25" customHeight="1">
      <c r="A69" s="16" t="s">
        <v>181</v>
      </c>
      <c r="B69" s="97">
        <v>90701</v>
      </c>
      <c r="C69" s="8" t="s">
        <v>71</v>
      </c>
      <c r="D69" s="8" t="s">
        <v>72</v>
      </c>
      <c r="E69" s="100" t="s">
        <v>121</v>
      </c>
      <c r="F69" s="101" t="s">
        <v>50</v>
      </c>
      <c r="G69" s="102">
        <v>20</v>
      </c>
      <c r="H69" s="101">
        <v>37.700000000000003</v>
      </c>
      <c r="I69" s="99">
        <f t="shared" ref="I69:I74" si="35">IF(D69="S",H69*1.2352,H69*1.1402)</f>
        <v>46.567040000000006</v>
      </c>
      <c r="J69" s="99">
        <f t="shared" si="33"/>
        <v>754</v>
      </c>
      <c r="K69" s="99">
        <f t="shared" si="34"/>
        <v>931.34080000000017</v>
      </c>
    </row>
    <row r="70" spans="1:11" ht="105.75" customHeight="1">
      <c r="A70" s="16" t="s">
        <v>182</v>
      </c>
      <c r="B70" s="97">
        <v>97980</v>
      </c>
      <c r="C70" s="8" t="s">
        <v>71</v>
      </c>
      <c r="D70" s="8" t="s">
        <v>72</v>
      </c>
      <c r="E70" s="100" t="s">
        <v>120</v>
      </c>
      <c r="F70" s="101" t="s">
        <v>37</v>
      </c>
      <c r="G70" s="102">
        <v>1</v>
      </c>
      <c r="H70" s="101">
        <v>1662.68</v>
      </c>
      <c r="I70" s="99">
        <f t="shared" si="35"/>
        <v>2053.7423360000003</v>
      </c>
      <c r="J70" s="99">
        <f t="shared" si="33"/>
        <v>1662.68</v>
      </c>
      <c r="K70" s="99">
        <f t="shared" si="34"/>
        <v>2053.7423360000003</v>
      </c>
    </row>
    <row r="71" spans="1:11" ht="87.75" customHeight="1">
      <c r="A71" s="16" t="s">
        <v>183</v>
      </c>
      <c r="B71" s="97">
        <v>97983</v>
      </c>
      <c r="C71" s="8" t="s">
        <v>71</v>
      </c>
      <c r="D71" s="8" t="s">
        <v>72</v>
      </c>
      <c r="E71" s="100" t="s">
        <v>125</v>
      </c>
      <c r="F71" s="101" t="s">
        <v>50</v>
      </c>
      <c r="G71" s="102">
        <v>3</v>
      </c>
      <c r="H71" s="101">
        <v>319.25</v>
      </c>
      <c r="I71" s="99">
        <f t="shared" si="35"/>
        <v>394.33760000000001</v>
      </c>
      <c r="J71" s="99">
        <f t="shared" si="33"/>
        <v>957.75</v>
      </c>
      <c r="K71" s="99">
        <f t="shared" si="34"/>
        <v>1183.0128</v>
      </c>
    </row>
    <row r="72" spans="1:11" ht="81.75" customHeight="1">
      <c r="A72" s="16" t="s">
        <v>189</v>
      </c>
      <c r="B72" s="97">
        <v>6240</v>
      </c>
      <c r="C72" s="8" t="s">
        <v>71</v>
      </c>
      <c r="D72" s="8" t="s">
        <v>75</v>
      </c>
      <c r="E72" s="100" t="s">
        <v>122</v>
      </c>
      <c r="F72" s="101" t="s">
        <v>37</v>
      </c>
      <c r="G72" s="102">
        <v>1</v>
      </c>
      <c r="H72" s="101">
        <v>381.71</v>
      </c>
      <c r="I72" s="99">
        <f t="shared" ref="I72" si="36">IF(D72="S",H72*1.2352,H72*1.1402)</f>
        <v>435.22574200000003</v>
      </c>
      <c r="J72" s="99">
        <f t="shared" ref="J72" si="37">G72*H72</f>
        <v>381.71</v>
      </c>
      <c r="K72" s="99">
        <f t="shared" ref="K72" si="38">G72*I72</f>
        <v>435.22574200000003</v>
      </c>
    </row>
    <row r="73" spans="1:11" ht="44.25" customHeight="1">
      <c r="A73" s="16" t="s">
        <v>184</v>
      </c>
      <c r="B73" s="97">
        <v>6514</v>
      </c>
      <c r="C73" s="24" t="s">
        <v>71</v>
      </c>
      <c r="D73" s="24" t="s">
        <v>72</v>
      </c>
      <c r="E73" s="100" t="s">
        <v>137</v>
      </c>
      <c r="F73" s="16" t="s">
        <v>24</v>
      </c>
      <c r="G73" s="99">
        <v>6</v>
      </c>
      <c r="H73" s="99">
        <v>101.14</v>
      </c>
      <c r="I73" s="99">
        <f t="shared" si="35"/>
        <v>124.92812800000002</v>
      </c>
      <c r="J73" s="99">
        <f>G73*H73</f>
        <v>606.84</v>
      </c>
      <c r="K73" s="99">
        <f>I73*G73</f>
        <v>749.56876800000009</v>
      </c>
    </row>
    <row r="74" spans="1:11" ht="114" customHeight="1">
      <c r="A74" s="16" t="s">
        <v>188</v>
      </c>
      <c r="B74" s="97">
        <v>92221</v>
      </c>
      <c r="C74" s="24" t="s">
        <v>71</v>
      </c>
      <c r="D74" s="24" t="s">
        <v>72</v>
      </c>
      <c r="E74" s="100" t="s">
        <v>190</v>
      </c>
      <c r="F74" s="16" t="s">
        <v>50</v>
      </c>
      <c r="G74" s="99">
        <v>10</v>
      </c>
      <c r="H74" s="99">
        <v>165.98</v>
      </c>
      <c r="I74" s="99">
        <f t="shared" si="35"/>
        <v>205.018496</v>
      </c>
      <c r="J74" s="99">
        <f t="shared" si="33"/>
        <v>1659.8</v>
      </c>
      <c r="K74" s="99">
        <f t="shared" ref="K74" si="39">I74*G74</f>
        <v>2050.18496</v>
      </c>
    </row>
    <row r="75" spans="1:11" ht="15" customHeight="1">
      <c r="A75" s="154" t="s">
        <v>73</v>
      </c>
      <c r="B75" s="155"/>
      <c r="C75" s="155"/>
      <c r="D75" s="155"/>
      <c r="E75" s="155"/>
      <c r="F75" s="155"/>
      <c r="G75" s="155"/>
      <c r="H75" s="155"/>
      <c r="I75" s="156"/>
      <c r="J75" s="99">
        <f>SUM(J67:J74)</f>
        <v>7367.9800000000005</v>
      </c>
      <c r="K75" s="99">
        <f>SUM(K67:K74)</f>
        <v>9064.6664460000011</v>
      </c>
    </row>
    <row r="76" spans="1:11" ht="17.25">
      <c r="A76" s="157" t="s">
        <v>76</v>
      </c>
      <c r="B76" s="157"/>
      <c r="C76" s="157"/>
      <c r="D76" s="157"/>
      <c r="E76" s="157"/>
      <c r="F76" s="157"/>
      <c r="G76" s="157"/>
      <c r="H76" s="157"/>
      <c r="I76" s="49"/>
      <c r="J76" s="125">
        <f>J30+J22+J65+J40+J50+J59+J75</f>
        <v>47491.097000000002</v>
      </c>
      <c r="K76" s="120"/>
    </row>
    <row r="77" spans="1:11" ht="17.25">
      <c r="A77" s="157" t="s">
        <v>77</v>
      </c>
      <c r="B77" s="157"/>
      <c r="C77" s="157"/>
      <c r="D77" s="157"/>
      <c r="E77" s="157"/>
      <c r="F77" s="157"/>
      <c r="G77" s="157"/>
      <c r="H77" s="157"/>
      <c r="I77" s="49"/>
      <c r="J77" s="125">
        <f>K65+K40+K30+K22+K50+K59+K75</f>
        <v>58552.215664400006</v>
      </c>
      <c r="K77" s="120"/>
    </row>
    <row r="79" spans="1:11" customFormat="1" ht="15.75">
      <c r="A79" s="104" t="s">
        <v>185</v>
      </c>
      <c r="B79" s="104"/>
      <c r="C79" s="104"/>
      <c r="D79" s="104"/>
      <c r="E79" s="104"/>
      <c r="F79" s="104"/>
      <c r="G79" s="78"/>
      <c r="H79" s="78"/>
      <c r="I79" s="78"/>
      <c r="J79" s="78"/>
      <c r="K79" s="79"/>
    </row>
    <row r="80" spans="1:11" customFormat="1" ht="15.75">
      <c r="A80" s="91"/>
      <c r="B80" s="91"/>
      <c r="C80" s="91"/>
      <c r="D80" s="91"/>
      <c r="E80" s="91"/>
      <c r="F80" s="91"/>
      <c r="G80" s="78"/>
      <c r="H80" s="78"/>
      <c r="I80" s="78"/>
      <c r="J80" s="78"/>
      <c r="K80" s="79"/>
    </row>
    <row r="81" spans="1:11" customFormat="1" ht="15.75">
      <c r="A81" s="91"/>
      <c r="B81" s="91"/>
      <c r="C81" s="78"/>
      <c r="D81" s="78"/>
      <c r="E81" s="78"/>
      <c r="F81" s="78"/>
      <c r="G81" s="91"/>
      <c r="H81" s="91"/>
      <c r="K81" s="80"/>
    </row>
    <row r="82" spans="1:11" customFormat="1" ht="15.75">
      <c r="A82" s="91"/>
      <c r="B82" s="91"/>
      <c r="F82" s="81" t="s">
        <v>99</v>
      </c>
      <c r="G82" s="91"/>
      <c r="H82" s="91"/>
      <c r="K82" s="80"/>
    </row>
    <row r="83" spans="1:11" customFormat="1" ht="15.75">
      <c r="B83" s="104" t="s">
        <v>100</v>
      </c>
      <c r="C83" s="104"/>
      <c r="D83" s="104"/>
      <c r="E83" s="78"/>
      <c r="G83" s="104" t="s">
        <v>101</v>
      </c>
      <c r="H83" s="104"/>
      <c r="I83" s="104"/>
      <c r="J83" s="104"/>
      <c r="K83" s="104"/>
    </row>
    <row r="84" spans="1:11" customFormat="1" ht="15.75">
      <c r="B84" s="105" t="s">
        <v>126</v>
      </c>
      <c r="C84" s="105"/>
      <c r="D84" s="105"/>
      <c r="E84" s="82"/>
      <c r="G84" s="105" t="s">
        <v>186</v>
      </c>
      <c r="H84" s="105"/>
      <c r="I84" s="105"/>
      <c r="J84" s="105"/>
      <c r="K84" s="105"/>
    </row>
    <row r="85" spans="1:11" customFormat="1" ht="15.75">
      <c r="B85" s="104" t="s">
        <v>103</v>
      </c>
      <c r="C85" s="104"/>
      <c r="D85" s="104"/>
      <c r="E85" s="78"/>
      <c r="G85" s="104" t="s">
        <v>187</v>
      </c>
      <c r="H85" s="104"/>
      <c r="I85" s="104"/>
      <c r="J85" s="104"/>
      <c r="K85" s="104"/>
    </row>
    <row r="86" spans="1:11" customFormat="1" ht="15.75">
      <c r="B86" s="104" t="s">
        <v>127</v>
      </c>
      <c r="C86" s="104"/>
      <c r="D86" s="104"/>
      <c r="E86" s="83"/>
      <c r="F86" s="78"/>
      <c r="G86" s="78"/>
      <c r="H86" s="78"/>
      <c r="I86" s="78"/>
      <c r="J86" s="78"/>
      <c r="K86" s="79"/>
    </row>
    <row r="87" spans="1:11" customFormat="1" ht="15.75">
      <c r="B87" s="104"/>
      <c r="C87" s="104"/>
      <c r="D87" s="104"/>
      <c r="E87" s="83"/>
      <c r="F87" s="78"/>
      <c r="G87" s="78"/>
      <c r="H87" s="78"/>
      <c r="I87" s="78"/>
      <c r="J87" s="78"/>
      <c r="K87" s="79"/>
    </row>
    <row r="88" spans="1:11" customFormat="1"/>
  </sheetData>
  <mergeCells count="26">
    <mergeCell ref="A2:K2"/>
    <mergeCell ref="A22:I22"/>
    <mergeCell ref="A8:K8"/>
    <mergeCell ref="A3:K3"/>
    <mergeCell ref="A4:K4"/>
    <mergeCell ref="I5:J5"/>
    <mergeCell ref="I6:J6"/>
    <mergeCell ref="A30:I30"/>
    <mergeCell ref="A76:H76"/>
    <mergeCell ref="J76:K76"/>
    <mergeCell ref="A77:H77"/>
    <mergeCell ref="J77:K77"/>
    <mergeCell ref="A40:I40"/>
    <mergeCell ref="A65:I65"/>
    <mergeCell ref="A50:I50"/>
    <mergeCell ref="A59:I59"/>
    <mergeCell ref="A75:I75"/>
    <mergeCell ref="A79:F79"/>
    <mergeCell ref="G84:K84"/>
    <mergeCell ref="G85:K85"/>
    <mergeCell ref="B86:D86"/>
    <mergeCell ref="B87:D87"/>
    <mergeCell ref="B83:D83"/>
    <mergeCell ref="G83:K83"/>
    <mergeCell ref="B84:D84"/>
    <mergeCell ref="B85:D85"/>
  </mergeCells>
  <printOptions horizontalCentered="1"/>
  <pageMargins left="0.7" right="0.7" top="0.75" bottom="0.75" header="0.3" footer="0.3"/>
  <pageSetup paperSize="9" scale="48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1"/>
  <sheetViews>
    <sheetView workbookViewId="0">
      <selection activeCell="F5" sqref="F5"/>
    </sheetView>
  </sheetViews>
  <sheetFormatPr defaultColWidth="9.140625" defaultRowHeight="12.75"/>
  <cols>
    <col min="1" max="1" width="6.28515625" style="64" customWidth="1"/>
    <col min="2" max="2" width="39.7109375" style="64" customWidth="1"/>
    <col min="3" max="3" width="21.140625" style="65" bestFit="1" customWidth="1"/>
    <col min="4" max="5" width="20.7109375" style="66" customWidth="1"/>
    <col min="6" max="8" width="20.7109375" style="64" customWidth="1"/>
    <col min="9" max="11" width="11" style="64" customWidth="1"/>
    <col min="12" max="16384" width="9.140625" style="64"/>
  </cols>
  <sheetData>
    <row r="1" spans="1:7" customFormat="1" ht="95.25" customHeight="1"/>
    <row r="2" spans="1:7" s="52" customFormat="1">
      <c r="A2" s="171" t="s">
        <v>87</v>
      </c>
      <c r="B2" s="171"/>
      <c r="C2" s="171"/>
      <c r="D2" s="171"/>
      <c r="E2" s="171"/>
    </row>
    <row r="3" spans="1:7" s="52" customFormat="1">
      <c r="A3" s="171" t="s">
        <v>88</v>
      </c>
      <c r="B3" s="171"/>
      <c r="C3" s="171"/>
      <c r="D3" s="171"/>
      <c r="E3" s="171"/>
    </row>
    <row r="4" spans="1:7" s="52" customFormat="1">
      <c r="A4" s="171" t="s">
        <v>89</v>
      </c>
      <c r="B4" s="171"/>
      <c r="C4" s="171"/>
      <c r="D4" s="171"/>
      <c r="E4" s="171"/>
    </row>
    <row r="5" spans="1:7" s="52" customFormat="1">
      <c r="A5" s="171"/>
      <c r="B5" s="171"/>
      <c r="C5" s="171"/>
      <c r="D5" s="171"/>
      <c r="E5" s="171"/>
    </row>
    <row r="6" spans="1:7" s="53" customFormat="1" ht="18">
      <c r="A6" s="171" t="s">
        <v>105</v>
      </c>
      <c r="B6" s="171"/>
      <c r="C6" s="171"/>
      <c r="D6" s="171"/>
      <c r="E6" s="171"/>
      <c r="F6" s="52"/>
      <c r="G6" s="52"/>
    </row>
    <row r="7" spans="1:7" s="53" customFormat="1" ht="18">
      <c r="A7" s="71"/>
      <c r="B7" s="71"/>
      <c r="C7" s="71"/>
      <c r="D7" s="71"/>
      <c r="E7" s="71"/>
      <c r="F7" s="52"/>
      <c r="G7" s="52"/>
    </row>
    <row r="8" spans="1:7" s="54" customFormat="1" ht="18">
      <c r="A8" s="165" t="s">
        <v>81</v>
      </c>
      <c r="B8" s="165"/>
      <c r="C8" s="165"/>
      <c r="D8" s="165"/>
      <c r="E8" s="165"/>
    </row>
    <row r="9" spans="1:7" s="67" customFormat="1">
      <c r="A9" s="68" t="s">
        <v>82</v>
      </c>
      <c r="B9" s="68" t="s">
        <v>2</v>
      </c>
      <c r="C9" s="68" t="s">
        <v>83</v>
      </c>
      <c r="D9" s="68" t="s">
        <v>91</v>
      </c>
      <c r="E9" s="68" t="s">
        <v>84</v>
      </c>
    </row>
    <row r="10" spans="1:7" s="56" customFormat="1">
      <c r="A10" s="166" t="s">
        <v>0</v>
      </c>
      <c r="B10" s="166" t="str">
        <f>'MEM. QUANTITATIVO'!B7:L7</f>
        <v xml:space="preserve">RECAPEAMENTO ASFÁLTICO </v>
      </c>
      <c r="C10" s="168" t="e">
        <f>#REF!</f>
        <v>#REF!</v>
      </c>
      <c r="D10" s="55">
        <v>1</v>
      </c>
      <c r="E10" s="55">
        <f>SUM(D10:D10)</f>
        <v>1</v>
      </c>
    </row>
    <row r="11" spans="1:7" s="56" customFormat="1">
      <c r="A11" s="167"/>
      <c r="B11" s="167"/>
      <c r="C11" s="169"/>
      <c r="D11" s="57" t="e">
        <f>($C10*D10)</f>
        <v>#REF!</v>
      </c>
      <c r="E11" s="57" t="e">
        <f>SUM(D11:D11)</f>
        <v>#REF!</v>
      </c>
      <c r="G11" s="58"/>
    </row>
    <row r="12" spans="1:7" s="56" customFormat="1">
      <c r="A12" s="166" t="s">
        <v>29</v>
      </c>
      <c r="B12" s="166" t="str">
        <f>'MEM. QUANTITATIVO'!B14:L14</f>
        <v>LEVANTAMENTO OU REBAIXAMENTO DE TAMPÃO DE POÇO DE VISITA</v>
      </c>
      <c r="C12" s="168" t="e">
        <f>#REF!</f>
        <v>#REF!</v>
      </c>
      <c r="D12" s="55">
        <f>1</f>
        <v>1</v>
      </c>
      <c r="E12" s="55">
        <f>SUM(D12:D12)</f>
        <v>1</v>
      </c>
    </row>
    <row r="13" spans="1:7" s="56" customFormat="1">
      <c r="A13" s="167"/>
      <c r="B13" s="167"/>
      <c r="C13" s="169"/>
      <c r="D13" s="57" t="e">
        <f>($C12*D12)</f>
        <v>#REF!</v>
      </c>
      <c r="E13" s="57" t="e">
        <f>SUM(D13:D13)-0.01</f>
        <v>#REF!</v>
      </c>
      <c r="G13" s="58"/>
    </row>
    <row r="14" spans="1:7" s="56" customFormat="1">
      <c r="A14" s="166" t="s">
        <v>52</v>
      </c>
      <c r="B14" s="166" t="str">
        <f>'MEM. QUANTITATIVO'!B19:L19</f>
        <v>ACESSIBILIDADE</v>
      </c>
      <c r="C14" s="168" t="e">
        <f>#REF!</f>
        <v>#REF!</v>
      </c>
      <c r="D14" s="55">
        <v>1</v>
      </c>
      <c r="E14" s="55">
        <f>SUM(D14:D14)</f>
        <v>1</v>
      </c>
    </row>
    <row r="15" spans="1:7" s="56" customFormat="1">
      <c r="A15" s="167"/>
      <c r="B15" s="167"/>
      <c r="C15" s="169"/>
      <c r="D15" s="57" t="e">
        <f>($C14*D14)</f>
        <v>#REF!</v>
      </c>
      <c r="E15" s="57" t="e">
        <f>SUM(D15:D15)</f>
        <v>#REF!</v>
      </c>
      <c r="G15" s="58"/>
    </row>
    <row r="16" spans="1:7" s="56" customFormat="1">
      <c r="A16" s="166" t="s">
        <v>38</v>
      </c>
      <c r="B16" s="166" t="str">
        <f>'MEM. QUANTITATIVO'!B23:L23</f>
        <v>SINALIZAÇÃO</v>
      </c>
      <c r="C16" s="168" t="e">
        <f>#REF!</f>
        <v>#REF!</v>
      </c>
      <c r="D16" s="55">
        <v>1</v>
      </c>
      <c r="E16" s="55">
        <f>SUM(D16:D16)</f>
        <v>1</v>
      </c>
    </row>
    <row r="17" spans="1:11" s="56" customFormat="1">
      <c r="A17" s="167"/>
      <c r="B17" s="167"/>
      <c r="C17" s="169"/>
      <c r="D17" s="57" t="e">
        <f>($C16*D16)</f>
        <v>#REF!</v>
      </c>
      <c r="E17" s="57" t="e">
        <f>SUM(D17:D17)+0.01</f>
        <v>#REF!</v>
      </c>
      <c r="G17" s="58"/>
    </row>
    <row r="18" spans="1:11" s="61" customFormat="1">
      <c r="A18" s="170" t="s">
        <v>85</v>
      </c>
      <c r="B18" s="167"/>
      <c r="C18" s="59">
        <v>1</v>
      </c>
      <c r="D18" s="60" t="e">
        <f>(D19/$C$19)</f>
        <v>#REF!</v>
      </c>
      <c r="E18" s="60" t="e">
        <f>(E19/$C$19)</f>
        <v>#REF!</v>
      </c>
      <c r="F18" s="56"/>
    </row>
    <row r="19" spans="1:11" s="61" customFormat="1">
      <c r="A19" s="170" t="s">
        <v>86</v>
      </c>
      <c r="B19" s="167"/>
      <c r="C19" s="62" t="e">
        <f>SUM(C10:C17)</f>
        <v>#REF!</v>
      </c>
      <c r="D19" s="63" t="e">
        <f>D11+D13+D15+D17</f>
        <v>#REF!</v>
      </c>
      <c r="E19" s="63" t="e">
        <f>C19</f>
        <v>#REF!</v>
      </c>
      <c r="F19" s="56"/>
    </row>
    <row r="21" spans="1:11" customFormat="1" ht="15.75">
      <c r="A21" s="104" t="s">
        <v>108</v>
      </c>
      <c r="B21" s="104"/>
      <c r="C21" s="104"/>
      <c r="D21" s="104"/>
      <c r="E21" s="104"/>
      <c r="F21" s="78"/>
      <c r="G21" s="78"/>
      <c r="H21" s="78"/>
      <c r="I21" s="78"/>
      <c r="J21" s="78"/>
      <c r="K21" s="79"/>
    </row>
    <row r="22" spans="1:11" customFormat="1" ht="15.75">
      <c r="A22" s="76"/>
      <c r="B22" s="76"/>
      <c r="C22" s="76"/>
      <c r="D22" s="76"/>
      <c r="E22" s="76"/>
      <c r="F22" s="76"/>
      <c r="G22" s="78"/>
      <c r="H22" s="78"/>
      <c r="I22" s="78"/>
      <c r="J22" s="78"/>
      <c r="K22" s="79"/>
    </row>
    <row r="23" spans="1:11" customFormat="1" ht="15.75">
      <c r="A23" s="76"/>
      <c r="B23" s="76"/>
      <c r="C23" s="78"/>
      <c r="D23" s="78"/>
      <c r="E23" s="78"/>
      <c r="F23" s="78"/>
      <c r="G23" s="76"/>
      <c r="H23" s="76"/>
      <c r="K23" s="80"/>
    </row>
    <row r="24" spans="1:11" customFormat="1" ht="15.75">
      <c r="A24" s="76"/>
      <c r="B24" s="76"/>
      <c r="C24" s="86" t="s">
        <v>99</v>
      </c>
      <c r="F24" s="64"/>
      <c r="G24" s="76"/>
      <c r="H24" s="76"/>
      <c r="K24" s="80"/>
    </row>
    <row r="25" spans="1:11" customFormat="1" ht="15.75">
      <c r="A25" s="76"/>
      <c r="B25" s="76"/>
      <c r="C25" s="86"/>
      <c r="F25" s="64"/>
      <c r="G25" s="76"/>
      <c r="H25" s="76"/>
      <c r="K25" s="80"/>
    </row>
    <row r="26" spans="1:11" customFormat="1" ht="15.75">
      <c r="B26" s="76" t="s">
        <v>100</v>
      </c>
      <c r="C26" s="78"/>
      <c r="D26" s="104" t="s">
        <v>101</v>
      </c>
      <c r="E26" s="104"/>
      <c r="F26" s="76"/>
      <c r="G26" s="76"/>
      <c r="H26" s="76"/>
      <c r="I26" s="64"/>
      <c r="J26" s="64"/>
      <c r="K26" s="64"/>
    </row>
    <row r="27" spans="1:11" customFormat="1" ht="15.75">
      <c r="B27" s="88" t="s">
        <v>109</v>
      </c>
      <c r="C27" s="82"/>
      <c r="D27" s="105" t="s">
        <v>102</v>
      </c>
      <c r="E27" s="105"/>
      <c r="F27" s="84"/>
      <c r="G27" s="84"/>
      <c r="H27" s="84"/>
      <c r="I27" s="64"/>
      <c r="J27" s="64"/>
      <c r="K27" s="64"/>
    </row>
    <row r="28" spans="1:11" customFormat="1" ht="15.75">
      <c r="B28" s="76" t="s">
        <v>103</v>
      </c>
      <c r="C28" s="78"/>
      <c r="D28" s="104" t="s">
        <v>104</v>
      </c>
      <c r="E28" s="104"/>
      <c r="F28" s="76"/>
      <c r="G28" s="76"/>
      <c r="H28" s="76"/>
      <c r="I28" s="64"/>
      <c r="J28" s="64"/>
      <c r="K28" s="64"/>
    </row>
    <row r="29" spans="1:11" customFormat="1" ht="15.75">
      <c r="B29" s="87" t="s">
        <v>107</v>
      </c>
      <c r="C29" s="78"/>
      <c r="D29" s="78"/>
      <c r="E29" s="83"/>
      <c r="F29" s="78"/>
      <c r="G29" s="78"/>
      <c r="H29" s="78"/>
      <c r="I29" s="78"/>
      <c r="J29" s="78"/>
      <c r="K29" s="79"/>
    </row>
    <row r="30" spans="1:11" customFormat="1" ht="15.75">
      <c r="B30" s="87" t="s">
        <v>110</v>
      </c>
      <c r="C30" s="78"/>
      <c r="D30" s="78"/>
      <c r="E30" s="83"/>
      <c r="F30" s="78"/>
      <c r="G30" s="78"/>
      <c r="H30" s="78"/>
      <c r="I30" s="78"/>
      <c r="J30" s="78"/>
      <c r="K30" s="79"/>
    </row>
    <row r="31" spans="1:11" customFormat="1" ht="15"/>
  </sheetData>
  <mergeCells count="24">
    <mergeCell ref="A16:A17"/>
    <mergeCell ref="B16:B17"/>
    <mergeCell ref="C16:C17"/>
    <mergeCell ref="A2:E2"/>
    <mergeCell ref="A3:E3"/>
    <mergeCell ref="A4:E4"/>
    <mergeCell ref="A5:E5"/>
    <mergeCell ref="A6:E6"/>
    <mergeCell ref="A21:E21"/>
    <mergeCell ref="D26:E26"/>
    <mergeCell ref="D27:E27"/>
    <mergeCell ref="D28:E28"/>
    <mergeCell ref="A8:E8"/>
    <mergeCell ref="A10:A11"/>
    <mergeCell ref="B10:B11"/>
    <mergeCell ref="C10:C11"/>
    <mergeCell ref="A12:A13"/>
    <mergeCell ref="B12:B13"/>
    <mergeCell ref="C12:C13"/>
    <mergeCell ref="A14:A15"/>
    <mergeCell ref="B14:B15"/>
    <mergeCell ref="C14:C15"/>
    <mergeCell ref="A18:B18"/>
    <mergeCell ref="A19:B19"/>
  </mergeCells>
  <conditionalFormatting sqref="D10:D17">
    <cfRule type="cellIs" dxfId="1" priority="1" stopIfTrue="1" operator="between">
      <formula>0.01</formula>
      <formula>1.01</formula>
    </cfRule>
  </conditionalFormatting>
  <printOptions horizontalCentered="1"/>
  <pageMargins left="0.51181102362204722" right="0.51181102362204722" top="0.78740157480314965" bottom="0.78740157480314965" header="0.31496062992125984" footer="0.31496062992125984"/>
  <pageSetup paperSize="9" scale="85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0"/>
  <sheetViews>
    <sheetView topLeftCell="A11" workbookViewId="0">
      <selection activeCell="F24" sqref="F24"/>
    </sheetView>
  </sheetViews>
  <sheetFormatPr defaultColWidth="9.140625" defaultRowHeight="12.75"/>
  <cols>
    <col min="1" max="1" width="6.28515625" style="64" customWidth="1"/>
    <col min="2" max="2" width="39.7109375" style="64" customWidth="1"/>
    <col min="3" max="3" width="21.140625" style="65" bestFit="1" customWidth="1"/>
    <col min="4" max="5" width="20.7109375" style="66" customWidth="1"/>
    <col min="6" max="8" width="20.7109375" style="64" customWidth="1"/>
    <col min="9" max="11" width="11" style="64" customWidth="1"/>
    <col min="12" max="16384" width="9.140625" style="64"/>
  </cols>
  <sheetData>
    <row r="1" spans="1:7" customFormat="1" ht="95.25" customHeight="1"/>
    <row r="2" spans="1:7" s="52" customFormat="1">
      <c r="A2" s="171" t="s">
        <v>87</v>
      </c>
      <c r="B2" s="171"/>
      <c r="C2" s="171"/>
      <c r="D2" s="171"/>
      <c r="E2" s="171"/>
    </row>
    <row r="3" spans="1:7" s="52" customFormat="1">
      <c r="A3" s="171" t="s">
        <v>88</v>
      </c>
      <c r="B3" s="171"/>
      <c r="C3" s="171"/>
      <c r="D3" s="171"/>
      <c r="E3" s="171"/>
    </row>
    <row r="4" spans="1:7" s="52" customFormat="1">
      <c r="A4" s="171" t="s">
        <v>89</v>
      </c>
      <c r="B4" s="171"/>
      <c r="C4" s="171"/>
      <c r="D4" s="171"/>
      <c r="E4" s="171"/>
    </row>
    <row r="5" spans="1:7" s="52" customFormat="1">
      <c r="A5" s="171"/>
      <c r="B5" s="171"/>
      <c r="C5" s="171"/>
      <c r="D5" s="171"/>
      <c r="E5" s="171"/>
    </row>
    <row r="6" spans="1:7" s="53" customFormat="1" ht="18">
      <c r="A6" s="171" t="s">
        <v>106</v>
      </c>
      <c r="B6" s="171"/>
      <c r="C6" s="171"/>
      <c r="D6" s="171"/>
      <c r="E6" s="171"/>
      <c r="F6" s="52"/>
      <c r="G6" s="52"/>
    </row>
    <row r="7" spans="1:7" s="53" customFormat="1" ht="18">
      <c r="A7" s="71"/>
      <c r="B7" s="71"/>
      <c r="C7" s="71"/>
      <c r="D7" s="71"/>
      <c r="E7" s="71"/>
      <c r="F7" s="52"/>
      <c r="G7" s="52"/>
    </row>
    <row r="8" spans="1:7" s="54" customFormat="1" ht="18">
      <c r="A8" s="165" t="s">
        <v>81</v>
      </c>
      <c r="B8" s="165"/>
      <c r="C8" s="165"/>
      <c r="D8" s="165"/>
      <c r="E8" s="165"/>
    </row>
    <row r="9" spans="1:7" s="67" customFormat="1">
      <c r="A9" s="68" t="s">
        <v>82</v>
      </c>
      <c r="B9" s="68" t="s">
        <v>2</v>
      </c>
      <c r="C9" s="68" t="s">
        <v>83</v>
      </c>
      <c r="D9" s="68" t="s">
        <v>91</v>
      </c>
      <c r="E9" s="68" t="s">
        <v>84</v>
      </c>
    </row>
    <row r="10" spans="1:7" s="56" customFormat="1">
      <c r="A10" s="166" t="s">
        <v>0</v>
      </c>
      <c r="B10" s="166" t="str">
        <f>'MEM. QUANTITATIVO'!B7:L7</f>
        <v xml:space="preserve">RECAPEAMENTO ASFÁLTICO </v>
      </c>
      <c r="C10" s="168">
        <f>'NÃO DESONERADA'!K15</f>
        <v>2085.5116800000005</v>
      </c>
      <c r="D10" s="55">
        <v>1</v>
      </c>
      <c r="E10" s="55">
        <f>SUM(D10:D10)</f>
        <v>1</v>
      </c>
    </row>
    <row r="11" spans="1:7" s="56" customFormat="1">
      <c r="A11" s="167"/>
      <c r="B11" s="167"/>
      <c r="C11" s="169"/>
      <c r="D11" s="57">
        <f>($C10*D10)</f>
        <v>2085.5116800000005</v>
      </c>
      <c r="E11" s="57">
        <f>SUM(D11:D11)</f>
        <v>2085.5116800000005</v>
      </c>
      <c r="G11" s="58"/>
    </row>
    <row r="12" spans="1:7" s="56" customFormat="1">
      <c r="A12" s="166" t="s">
        <v>29</v>
      </c>
      <c r="B12" s="166" t="str">
        <f>'MEM. QUANTITATIVO'!B14:L14</f>
        <v>LEVANTAMENTO OU REBAIXAMENTO DE TAMPÃO DE POÇO DE VISITA</v>
      </c>
      <c r="C12" s="168">
        <f>'NÃO DESONERADA'!K19</f>
        <v>2375.5119359999999</v>
      </c>
      <c r="D12" s="55">
        <f>1</f>
        <v>1</v>
      </c>
      <c r="E12" s="55">
        <f>SUM(D12:D12)</f>
        <v>1</v>
      </c>
    </row>
    <row r="13" spans="1:7" s="56" customFormat="1">
      <c r="A13" s="167"/>
      <c r="B13" s="167"/>
      <c r="C13" s="169"/>
      <c r="D13" s="57">
        <f>($C12*D12)</f>
        <v>2375.5119359999999</v>
      </c>
      <c r="E13" s="57">
        <f>SUM(D13:D13)-0.01</f>
        <v>2375.5019359999997</v>
      </c>
      <c r="G13" s="58"/>
    </row>
    <row r="14" spans="1:7" s="56" customFormat="1">
      <c r="A14" s="166" t="s">
        <v>52</v>
      </c>
      <c r="B14" s="166" t="str">
        <f>'MEM. QUANTITATIVO'!B19:L19</f>
        <v>ACESSIBILIDADE</v>
      </c>
      <c r="C14" s="168">
        <f>'NÃO DESONERADA'!K22</f>
        <v>16347.994836400003</v>
      </c>
      <c r="D14" s="55">
        <v>1</v>
      </c>
      <c r="E14" s="55">
        <f>SUM(D14:D14)</f>
        <v>1</v>
      </c>
    </row>
    <row r="15" spans="1:7" s="56" customFormat="1">
      <c r="A15" s="167"/>
      <c r="B15" s="167"/>
      <c r="C15" s="169"/>
      <c r="D15" s="57">
        <f>($C14*D14)</f>
        <v>16347.994836400003</v>
      </c>
      <c r="E15" s="57">
        <f>SUM(D15:D15)</f>
        <v>16347.994836400003</v>
      </c>
      <c r="G15" s="58"/>
    </row>
    <row r="16" spans="1:7" s="56" customFormat="1">
      <c r="A16" s="166" t="s">
        <v>38</v>
      </c>
      <c r="B16" s="166" t="str">
        <f>'MEM. QUANTITATIVO'!B23:L23</f>
        <v>SINALIZAÇÃO</v>
      </c>
      <c r="C16" s="168">
        <f>'NÃO DESONERADA'!K28</f>
        <v>1577.3504</v>
      </c>
      <c r="D16" s="55">
        <v>1</v>
      </c>
      <c r="E16" s="55">
        <f>SUM(D16:D16)</f>
        <v>1</v>
      </c>
    </row>
    <row r="17" spans="1:11" s="56" customFormat="1">
      <c r="A17" s="167"/>
      <c r="B17" s="167"/>
      <c r="C17" s="169"/>
      <c r="D17" s="57">
        <f>($C16*D16)</f>
        <v>1577.3504</v>
      </c>
      <c r="E17" s="57">
        <f>SUM(D17:D17)+0.01</f>
        <v>1577.3604</v>
      </c>
      <c r="G17" s="58"/>
    </row>
    <row r="18" spans="1:11" s="61" customFormat="1">
      <c r="A18" s="170" t="s">
        <v>85</v>
      </c>
      <c r="B18" s="167"/>
      <c r="C18" s="59">
        <v>1</v>
      </c>
      <c r="D18" s="60">
        <f>(D19/$C$19)</f>
        <v>1</v>
      </c>
      <c r="E18" s="60">
        <f>(E19/$C$19)</f>
        <v>1</v>
      </c>
      <c r="F18" s="56"/>
    </row>
    <row r="19" spans="1:11" s="61" customFormat="1">
      <c r="A19" s="170" t="s">
        <v>86</v>
      </c>
      <c r="B19" s="167"/>
      <c r="C19" s="62">
        <f>SUM(C10:C17)</f>
        <v>22386.368852400003</v>
      </c>
      <c r="D19" s="63">
        <f>D11+D13+D15+D17</f>
        <v>22386.368852400003</v>
      </c>
      <c r="E19" s="63">
        <f>C19</f>
        <v>22386.368852400003</v>
      </c>
      <c r="F19" s="56"/>
    </row>
    <row r="21" spans="1:11" customFormat="1" ht="15.75">
      <c r="A21" s="104" t="s">
        <v>108</v>
      </c>
      <c r="B21" s="104"/>
      <c r="C21" s="104"/>
      <c r="D21" s="104"/>
      <c r="E21" s="104"/>
      <c r="F21" s="78"/>
      <c r="G21" s="78"/>
      <c r="H21" s="78"/>
      <c r="I21" s="78"/>
      <c r="J21" s="78"/>
      <c r="K21" s="79"/>
    </row>
    <row r="22" spans="1:11" customFormat="1" ht="15.75">
      <c r="A22" s="76"/>
      <c r="B22" s="76"/>
      <c r="C22" s="76"/>
      <c r="D22" s="76"/>
      <c r="E22" s="76"/>
      <c r="F22" s="76"/>
      <c r="G22" s="78"/>
      <c r="H22" s="78"/>
      <c r="I22" s="78"/>
      <c r="J22" s="78"/>
      <c r="K22" s="79"/>
    </row>
    <row r="23" spans="1:11" customFormat="1" ht="15.75">
      <c r="A23" s="76"/>
      <c r="B23" s="76"/>
      <c r="C23" s="78"/>
      <c r="D23" s="78"/>
      <c r="E23" s="78"/>
      <c r="F23" s="78"/>
      <c r="G23" s="76"/>
      <c r="H23" s="76"/>
      <c r="K23" s="80"/>
    </row>
    <row r="24" spans="1:11" customFormat="1" ht="15.75">
      <c r="A24" s="76"/>
      <c r="B24" s="76"/>
      <c r="C24" s="86" t="s">
        <v>99</v>
      </c>
      <c r="F24" s="64"/>
      <c r="G24" s="76"/>
      <c r="H24" s="76"/>
      <c r="K24" s="80"/>
    </row>
    <row r="25" spans="1:11" customFormat="1" ht="15.75">
      <c r="A25" s="76"/>
      <c r="B25" s="76"/>
      <c r="C25" s="86"/>
      <c r="F25" s="64"/>
      <c r="G25" s="76"/>
      <c r="H25" s="76"/>
      <c r="K25" s="80"/>
    </row>
    <row r="26" spans="1:11" customFormat="1" ht="15.75">
      <c r="B26" s="76" t="s">
        <v>100</v>
      </c>
      <c r="C26" s="78"/>
      <c r="D26" s="104" t="s">
        <v>101</v>
      </c>
      <c r="E26" s="104"/>
      <c r="F26" s="76"/>
      <c r="G26" s="76"/>
      <c r="H26" s="76"/>
      <c r="I26" s="64"/>
      <c r="J26" s="64"/>
      <c r="K26" s="64"/>
    </row>
    <row r="27" spans="1:11" customFormat="1" ht="15.75">
      <c r="B27" s="88" t="s">
        <v>109</v>
      </c>
      <c r="C27" s="82"/>
      <c r="D27" s="105" t="s">
        <v>102</v>
      </c>
      <c r="E27" s="105"/>
      <c r="F27" s="84"/>
      <c r="G27" s="84"/>
      <c r="H27" s="84"/>
      <c r="I27" s="64"/>
      <c r="J27" s="64"/>
      <c r="K27" s="64"/>
    </row>
    <row r="28" spans="1:11" customFormat="1" ht="15.75">
      <c r="B28" s="76" t="s">
        <v>103</v>
      </c>
      <c r="C28" s="78"/>
      <c r="D28" s="104" t="s">
        <v>104</v>
      </c>
      <c r="E28" s="104"/>
      <c r="F28" s="76"/>
      <c r="G28" s="76"/>
      <c r="H28" s="76"/>
      <c r="I28" s="64"/>
      <c r="J28" s="64"/>
      <c r="K28" s="64"/>
    </row>
    <row r="29" spans="1:11" customFormat="1" ht="15.75">
      <c r="B29" s="87" t="s">
        <v>107</v>
      </c>
      <c r="C29" s="78"/>
      <c r="D29" s="78"/>
      <c r="E29" s="83"/>
      <c r="F29" s="78"/>
      <c r="G29" s="78"/>
      <c r="H29" s="78"/>
      <c r="I29" s="78"/>
      <c r="J29" s="78"/>
      <c r="K29" s="79"/>
    </row>
    <row r="30" spans="1:11" customFormat="1" ht="15.75">
      <c r="B30" s="87" t="s">
        <v>110</v>
      </c>
      <c r="C30" s="78"/>
      <c r="D30" s="78"/>
      <c r="E30" s="83"/>
      <c r="F30" s="78"/>
      <c r="G30" s="78"/>
      <c r="H30" s="78"/>
      <c r="I30" s="78"/>
      <c r="J30" s="78"/>
      <c r="K30" s="79"/>
    </row>
  </sheetData>
  <mergeCells count="24">
    <mergeCell ref="C16:C17"/>
    <mergeCell ref="A18:B18"/>
    <mergeCell ref="A19:B19"/>
    <mergeCell ref="A2:E2"/>
    <mergeCell ref="A3:E3"/>
    <mergeCell ref="A4:E4"/>
    <mergeCell ref="A5:E5"/>
    <mergeCell ref="A6:E6"/>
    <mergeCell ref="A21:E21"/>
    <mergeCell ref="D26:E26"/>
    <mergeCell ref="D27:E27"/>
    <mergeCell ref="D28:E28"/>
    <mergeCell ref="A8:E8"/>
    <mergeCell ref="A10:A11"/>
    <mergeCell ref="B10:B11"/>
    <mergeCell ref="C10:C11"/>
    <mergeCell ref="A12:A13"/>
    <mergeCell ref="B12:B13"/>
    <mergeCell ref="C12:C13"/>
    <mergeCell ref="A14:A15"/>
    <mergeCell ref="B14:B15"/>
    <mergeCell ref="C14:C15"/>
    <mergeCell ref="A16:A17"/>
    <mergeCell ref="B16:B17"/>
  </mergeCells>
  <conditionalFormatting sqref="D10:D17">
    <cfRule type="cellIs" dxfId="0" priority="1" stopIfTrue="1" operator="between">
      <formula>0.01</formula>
      <formula>1.01</formula>
    </cfRule>
  </conditionalFormatting>
  <printOptions horizontalCentered="1"/>
  <pageMargins left="0.51181102362204722" right="0.51181102362204722" top="0.78740157480314965" bottom="0.78740157480314965" header="0.31496062992125984" footer="0.31496062992125984"/>
  <pageSetup paperSize="9" scale="85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2</vt:i4>
      </vt:variant>
    </vt:vector>
  </HeadingPairs>
  <TitlesOfParts>
    <vt:vector size="7" baseType="lpstr">
      <vt:lpstr>MEM. QUANTITATIVO</vt:lpstr>
      <vt:lpstr>Plan2</vt:lpstr>
      <vt:lpstr>NÃO DESONERADA</vt:lpstr>
      <vt:lpstr>CFF NÃO DESONERADO</vt:lpstr>
      <vt:lpstr>CFF DESONERADO</vt:lpstr>
      <vt:lpstr>'CFF DESONERADO'!Area_de_impressao</vt:lpstr>
      <vt:lpstr>'CFF NÃO DESONERADO'!Area_de_impressao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Engenharia 08</dc:creator>
  <cp:lastModifiedBy>licitacao02</cp:lastModifiedBy>
  <cp:lastPrinted>2020-05-14T14:04:34Z</cp:lastPrinted>
  <dcterms:created xsi:type="dcterms:W3CDTF">2018-04-25T16:29:47Z</dcterms:created>
  <dcterms:modified xsi:type="dcterms:W3CDTF">2020-05-15T13:21:35Z</dcterms:modified>
</cp:coreProperties>
</file>